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filesv-futuka-go.intra.city.sendai.jp\組織用\環境局脱炭素都市推進部脱炭素経営推進課\101_グリーン成長係\01_温室効果ガス削減アクションプログラム\01_温室効果ガス削減アクションプログラム関係\R08年度\104_計画書・報告書様式／マニュアル\02_一般事業者様式・排出係数検索ツール・マニュアル\01_計画書・報告書様式\"/>
    </mc:Choice>
  </mc:AlternateContent>
  <xr:revisionPtr revIDLastSave="0" documentId="13_ncr:1_{673F17EA-976A-41E0-B8E9-0D6FA58B2EDD}" xr6:coauthVersionLast="47" xr6:coauthVersionMax="47" xr10:uidLastSave="{00000000-0000-0000-0000-000000000000}"/>
  <bookViews>
    <workbookView xWindow="-120" yWindow="-120" windowWidth="29040" windowHeight="15720" tabRatio="914" xr2:uid="{00000000-000D-0000-FFFF-FFFF00000000}"/>
  </bookViews>
  <sheets>
    <sheet name="入力シート（2026年度提出用）" sheetId="1" r:id="rId1"/>
    <sheet name="入力シート（2027年度提出用）" sheetId="13" r:id="rId2"/>
    <sheet name="入力シート（2028年度提出用）" sheetId="14" r:id="rId3"/>
    <sheet name="入力シート（2029年度提出用）" sheetId="15" r:id="rId4"/>
    <sheet name="公表用シート" sheetId="5" r:id="rId5"/>
    <sheet name="評価確認（参考）" sheetId="19" r:id="rId6"/>
    <sheet name="基本設定シート" sheetId="8" state="hidden" r:id="rId7"/>
    <sheet name="集計表への転記用" sheetId="17" state="hidden" r:id="rId8"/>
    <sheet name="産業分類" sheetId="9" state="hidden" r:id="rId9"/>
    <sheet name="係数（車両用）" sheetId="11" state="hidden" r:id="rId10"/>
    <sheet name="係数（事業所用）" sheetId="18" state="hidden" r:id="rId11"/>
    <sheet name="プルダウンリスト（エネルギー）" sheetId="12" state="hidden" r:id="rId12"/>
    <sheet name="取組リスト" sheetId="10" state="hidden" r:id="rId13"/>
    <sheet name="各年度エネルギー使用量比較" sheetId="16" state="hidden" r:id="rId14"/>
  </sheets>
  <definedNames>
    <definedName name="_xlnm.Print_Area" localSheetId="10">'係数（事業所用）'!$A$2:$K$80</definedName>
    <definedName name="_xlnm.Print_Area" localSheetId="9">'係数（車両用）'!$A$2:$K$80</definedName>
    <definedName name="_xlnm.Print_Area" localSheetId="4">公表用シート!$A$3:$V$41</definedName>
    <definedName name="_xlnm.Print_Area" localSheetId="0">'入力シート（2026年度提出用）'!$A$1:$AE$106,'入力シート（2026年度提出用）'!$BO$17:$CG$49</definedName>
    <definedName name="_xlnm.Print_Area" localSheetId="1">'入力シート（2027年度提出用）'!$A$1:$AE$106,'入力シート（2027年度提出用）'!$BO$17:$CG$49</definedName>
    <definedName name="_xlnm.Print_Area" localSheetId="2">'入力シート（2028年度提出用）'!$A$1:$AE$106,'入力シート（2028年度提出用）'!$BO$17:$CG$49</definedName>
    <definedName name="_xlnm.Print_Area" localSheetId="3">'入力シート（2029年度提出用）'!$A$1:$AE$106,'入力シート（2029年度提出用）'!$BO$17:$CG$49</definedName>
    <definedName name="_xlnm.Print_Area" localSheetId="5">'評価確認（参考）'!$A$1:$J$15</definedName>
    <definedName name="_xlnm.Print_Titles" localSheetId="0">'入力シート（2026年度提出用）'!$1:$1</definedName>
    <definedName name="_xlnm.Print_Titles" localSheetId="1">'入力シート（2027年度提出用）'!$1:$1</definedName>
    <definedName name="_xlnm.Print_Titles" localSheetId="2">'入力シート（2028年度提出用）'!$1:$1</definedName>
    <definedName name="_xlnm.Print_Titles" localSheetId="3">'入力シート（2029年度提出用）'!$1:$1</definedName>
    <definedName name="その他対策" localSheetId="10">#REF!</definedName>
    <definedName name="その他対策" localSheetId="9">#REF!</definedName>
    <definedName name="その他対策" localSheetId="5">#REF!</definedName>
    <definedName name="その他対策">#REF!</definedName>
    <definedName name="基準年リスト">#REF!</definedName>
    <definedName name="係数2022" localSheetId="10">'係数（事業所用）'!#REF!</definedName>
    <definedName name="係数2022" localSheetId="9">'係数（車両用）'!#REF!</definedName>
    <definedName name="係数2022" localSheetId="5">#REF!</definedName>
    <definedName name="係数2022">#REF!</definedName>
    <definedName name="係数2023" localSheetId="10">'係数（事業所用）'!$B$3:$K$80</definedName>
    <definedName name="係数2023" localSheetId="9">'係数（車両用）'!$B$3:$K$80</definedName>
    <definedName name="係数2023" localSheetId="5">#REF!</definedName>
    <definedName name="係数2023">#REF!</definedName>
    <definedName name="係数2025">#REF!</definedName>
    <definedName name="月対応日付リスト">OFFSET(日付リスト, 0, 0,#REF!, 1)</definedName>
    <definedName name="月対応日付リスト1">OFFSET(日付リスト, 0, 0,#REF!, 1)</definedName>
    <definedName name="月対応日付リスト2">OFFSET(日付リスト, 0, 0,#REF!,1)</definedName>
    <definedName name="月対応日付リスト3">OFFSET(日付リスト, 0, 0,#REF!, 1)</definedName>
    <definedName name="月対応日付リスト委任状">OFFSET(日付リスト, 0, 0,#REF!, 1)</definedName>
    <definedName name="細分類" localSheetId="10">#REF!</definedName>
    <definedName name="細分類" localSheetId="9">#REF!</definedName>
    <definedName name="細分類" localSheetId="5">#REF!</definedName>
    <definedName name="細分類">産業分類!$J$2:$K$1460</definedName>
    <definedName name="取組年度リスト">#REF!</definedName>
    <definedName name="取組年度リスト1">#REF!</definedName>
    <definedName name="小分類" localSheetId="10">#REF!</definedName>
    <definedName name="小分類" localSheetId="9">#REF!</definedName>
    <definedName name="小分類" localSheetId="5">#REF!</definedName>
    <definedName name="小分類">産業分類!$G$2:$H$531</definedName>
    <definedName name="選択取組年度リスト">OFFSET(取組年度リスト1, 0, 0,#REF!, 1)</definedName>
    <definedName name="選択対策" localSheetId="10">#REF!</definedName>
    <definedName name="選択対策" localSheetId="9">#REF!</definedName>
    <definedName name="選択対策" localSheetId="5">#REF!</definedName>
    <definedName name="選択対策">#REF!</definedName>
    <definedName name="中分類" localSheetId="10">#REF!</definedName>
    <definedName name="中分類" localSheetId="9">#REF!</definedName>
    <definedName name="中分類" localSheetId="5">#REF!</definedName>
    <definedName name="中分類">産業分類!$D$2:$E$100</definedName>
    <definedName name="日付リスト">#REF!</definedName>
    <definedName name="入力欄_はじめに" localSheetId="10">#REF!,#REF!,#REF!,#REF!,#REF!,#REF!,#REF!,#REF!,#REF!,#REF!,#REF!,#REF!,#REF!,#REF!,#REF!,#REF!,#REF!</definedName>
    <definedName name="入力欄_はじめに" localSheetId="9">#REF!,#REF!,#REF!,#REF!,#REF!,#REF!,#REF!,#REF!,#REF!,#REF!,#REF!,#REF!,#REF!,#REF!,#REF!,#REF!,#REF!</definedName>
    <definedName name="入力欄_はじめに" localSheetId="5">#REF!,#REF!,#REF!,#REF!,#REF!,#REF!,#REF!,#REF!,#REF!,#REF!,#REF!,#REF!,#REF!,#REF!,#REF!,#REF!,#REF!,#REF!,#REF!</definedName>
    <definedName name="入力欄_はじめに">#REF!,#REF!,#REF!,#REF!,#REF!,#REF!,#REF!,#REF!,#REF!,#REF!,#REF!,#REF!,#REF!,#REF!,#REF!,#REF!,#REF!</definedName>
    <definedName name="入力欄_基準年度_排出量内訳">#REF!,#REF!,#REF!,#REF!,#REF!,#REF!,#REF!,#REF!,#REF!,#REF!,#REF!,#REF!,#REF!,#REF!,#REF!,#REF!,#REF!,#REF!,#REF!,#REF!,#REF!,#REF!,#REF!,#REF!,#REF!,#REF!,#REF!,#REF!,#REF!</definedName>
    <definedName name="入力欄_計画書①" localSheetId="10">#REF!,#REF!,#REF!,#REF!,#REF!</definedName>
    <definedName name="入力欄_計画書①" localSheetId="9">#REF!,#REF!,#REF!,#REF!,#REF!</definedName>
    <definedName name="入力欄_計画書①" localSheetId="5">#REF!,#REF!,#REF!,#REF!,#REF!</definedName>
    <definedName name="入力欄_計画書①">#REF!,#REF!,#REF!,#REF!,#REF!</definedName>
    <definedName name="入力欄_計画書②" localSheetId="10">#REF!,#REF!,#REF!,#REF!</definedName>
    <definedName name="入力欄_計画書②" localSheetId="9">#REF!,#REF!,#REF!,#REF!</definedName>
    <definedName name="入力欄_計画書②" localSheetId="5">#REF!,#REF!,#REF!,#REF!</definedName>
    <definedName name="入力欄_計画書②">#REF!,#REF!,#REF!,#REF!</definedName>
    <definedName name="入力欄_計画書③" localSheetId="10">#REF!,#REF!</definedName>
    <definedName name="入力欄_計画書③" localSheetId="9">#REF!,#REF!</definedName>
    <definedName name="入力欄_計画書③" localSheetId="5">#REF!,#REF!</definedName>
    <definedName name="入力欄_計画書③">#REF!,#REF!</definedName>
    <definedName name="入力欄_計算シート1" localSheetId="10">#REF!,#REF!</definedName>
    <definedName name="入力欄_計算シート1" localSheetId="9">#REF!,#REF!</definedName>
    <definedName name="入力欄_計算シート1">#REF!,#REF!</definedName>
    <definedName name="入力欄_計算シート2" localSheetId="10">#REF!,#REF!</definedName>
    <definedName name="入力欄_計算シート2" localSheetId="9">#REF!,#REF!</definedName>
    <definedName name="入力欄_計算シート2">#REF!,#REF!</definedName>
    <definedName name="入力欄_計算シート3" localSheetId="10">#REF!,#REF!</definedName>
    <definedName name="入力欄_計算シート3" localSheetId="9">#REF!,#REF!</definedName>
    <definedName name="入力欄_計算シート3">#REF!,#REF!</definedName>
    <definedName name="入力欄_計算シート基準年度" localSheetId="10">#REF!,#REF!</definedName>
    <definedName name="入力欄_計算シート基準年度" localSheetId="9">#REF!,#REF!</definedName>
    <definedName name="入力欄_計算シート基準年度">#REF!,#REF!</definedName>
    <definedName name="入力欄_排出量内訳_基準年度" localSheetId="10">#REF!,#REF!,#REF!,#REF!,#REF!,#REF!,#REF!,#REF!,#REF!,#REF!,#REF!,#REF!,#REF!,#REF!,#REF!,#REF!,#REF!,#REF!,#REF!,#REF!,#REF!,#REF!,#REF!,#REF!</definedName>
    <definedName name="入力欄_排出量内訳_基準年度" localSheetId="9">#REF!,#REF!,#REF!,#REF!,#REF!,#REF!,#REF!,#REF!,#REF!,#REF!,#REF!,#REF!,#REF!,#REF!,#REF!,#REF!,#REF!,#REF!,#REF!,#REF!,#REF!,#REF!,#REF!,#REF!</definedName>
    <definedName name="入力欄_排出量内訳_基準年度" localSheetId="5">#REF!,#REF!,#REF!,#REF!,#REF!,#REF!,#REF!,#REF!,#REF!,#REF!,#REF!,#REF!,#REF!,#REF!,#REF!,#REF!,#REF!,#REF!,#REF!,#REF!,#REF!,#REF!,#REF!,#REF!</definedName>
    <definedName name="入力欄_排出量内訳_基準年度">#REF!,#REF!,#REF!,#REF!,#REF!,#REF!,#REF!,#REF!,#REF!,#REF!,#REF!,#REF!,#REF!,#REF!,#REF!,#REF!,#REF!,#REF!,#REF!,#REF!,#REF!,#REF!,#REF!,#REF!</definedName>
    <definedName name="入力欄_排出量内訳_第1年度" localSheetId="10">#REF!,#REF!,#REF!,#REF!,#REF!,#REF!,#REF!,#REF!,#REF!,#REF!,#REF!,#REF!,#REF!,#REF!,#REF!,#REF!,#REF!,#REF!,#REF!,#REF!,#REF!,#REF!</definedName>
    <definedName name="入力欄_排出量内訳_第1年度" localSheetId="9">#REF!,#REF!,#REF!,#REF!,#REF!,#REF!,#REF!,#REF!,#REF!,#REF!,#REF!,#REF!,#REF!,#REF!,#REF!,#REF!,#REF!,#REF!,#REF!,#REF!,#REF!,#REF!</definedName>
    <definedName name="入力欄_排出量内訳_第1年度" localSheetId="5">#REF!,#REF!,#REF!,#REF!,#REF!,#REF!,#REF!,#REF!,#REF!,#REF!,#REF!,#REF!,#REF!,#REF!,#REF!,#REF!,#REF!,#REF!,#REF!,#REF!,#REF!,#REF!</definedName>
    <definedName name="入力欄_排出量内訳_第1年度">#REF!,#REF!,#REF!,#REF!,#REF!,#REF!,#REF!,#REF!,#REF!,#REF!,#REF!,#REF!,#REF!,#REF!,#REF!,#REF!,#REF!,#REF!,#REF!,#REF!,#REF!,#REF!</definedName>
    <definedName name="入力欄_排出量内訳_第2年度" localSheetId="10">#REF!,#REF!,#REF!,#REF!,#REF!,#REF!,#REF!,#REF!,#REF!,#REF!,#REF!,#REF!,#REF!,#REF!,#REF!,#REF!,#REF!,#REF!,#REF!,#REF!,#REF!,#REF!,#REF!,#REF!</definedName>
    <definedName name="入力欄_排出量内訳_第2年度" localSheetId="9">#REF!,#REF!,#REF!,#REF!,#REF!,#REF!,#REF!,#REF!,#REF!,#REF!,#REF!,#REF!,#REF!,#REF!,#REF!,#REF!,#REF!,#REF!,#REF!,#REF!,#REF!,#REF!,#REF!,#REF!</definedName>
    <definedName name="入力欄_排出量内訳_第2年度" localSheetId="5">#REF!,#REF!,#REF!,#REF!,#REF!,#REF!,#REF!,#REF!,#REF!,#REF!,#REF!,#REF!,#REF!,#REF!,#REF!,#REF!,#REF!,#REF!,#REF!,#REF!,#REF!,#REF!,#REF!,#REF!</definedName>
    <definedName name="入力欄_排出量内訳_第2年度">#REF!,#REF!,#REF!,#REF!,#REF!,#REF!,#REF!,#REF!,#REF!,#REF!,#REF!,#REF!,#REF!,#REF!,#REF!,#REF!,#REF!,#REF!,#REF!,#REF!,#REF!,#REF!,#REF!,#REF!</definedName>
    <definedName name="入力欄_排出量内訳_第3年度" localSheetId="10">#REF!,#REF!,#REF!,#REF!,#REF!,#REF!,#REF!,#REF!,#REF!,#REF!,#REF!,#REF!,#REF!,#REF!,#REF!,#REF!,#REF!,#REF!,#REF!,#REF!,#REF!,#REF!</definedName>
    <definedName name="入力欄_排出量内訳_第3年度" localSheetId="9">#REF!,#REF!,#REF!,#REF!,#REF!,#REF!,#REF!,#REF!,#REF!,#REF!,#REF!,#REF!,#REF!,#REF!,#REF!,#REF!,#REF!,#REF!,#REF!,#REF!,#REF!,#REF!</definedName>
    <definedName name="入力欄_排出量内訳_第3年度" localSheetId="5">#REF!,#REF!,#REF!,#REF!,#REF!,#REF!,#REF!,#REF!,#REF!,#REF!,#REF!,#REF!,#REF!,#REF!,#REF!,#REF!,#REF!,#REF!,#REF!,#REF!,#REF!,#REF!</definedName>
    <definedName name="入力欄_排出量内訳_第3年度">#REF!,#REF!,#REF!,#REF!,#REF!,#REF!,#REF!,#REF!,#REF!,#REF!,#REF!,#REF!,#REF!,#REF!,#REF!,#REF!,#REF!,#REF!,#REF!,#REF!,#REF!,#REF!</definedName>
    <definedName name="入力欄_報告書①" localSheetId="10">#REF!,#REF!,#REF!</definedName>
    <definedName name="入力欄_報告書①" localSheetId="9">#REF!,#REF!,#REF!</definedName>
    <definedName name="入力欄_報告書①" localSheetId="5">#REF!,#REF!,#REF!</definedName>
    <definedName name="入力欄_報告書①">#REF!,#REF!,#REF!</definedName>
    <definedName name="入力欄_報告書②1" localSheetId="10">#REF!,#REF!,#REF!,#REF!,#REF!,#REF!</definedName>
    <definedName name="入力欄_報告書②1" localSheetId="9">#REF!,#REF!,#REF!,#REF!,#REF!,#REF!</definedName>
    <definedName name="入力欄_報告書②1" localSheetId="5">#REF!,#REF!,#REF!,#REF!,#REF!,#REF!</definedName>
    <definedName name="入力欄_報告書②1">#REF!,#REF!,#REF!,#REF!,#REF!,#REF!</definedName>
    <definedName name="入力欄_報告書②2" localSheetId="10">#REF!,#REF!,#REF!,#REF!,#REF!,#REF!</definedName>
    <definedName name="入力欄_報告書②2" localSheetId="9">#REF!,#REF!,#REF!,#REF!,#REF!,#REF!</definedName>
    <definedName name="入力欄_報告書②2" localSheetId="5">#REF!,#REF!,#REF!,#REF!,#REF!,#REF!</definedName>
    <definedName name="入力欄_報告書②2">#REF!,#REF!,#REF!,#REF!,#REF!,#REF!</definedName>
    <definedName name="入力欄_報告書②3" localSheetId="10">#REF!,#REF!,#REF!,#REF!,#REF!,#REF!</definedName>
    <definedName name="入力欄_報告書②3" localSheetId="9">#REF!,#REF!,#REF!,#REF!,#REF!,#REF!</definedName>
    <definedName name="入力欄_報告書②3" localSheetId="5">#REF!,#REF!,#REF!,#REF!,#REF!,#REF!</definedName>
    <definedName name="入力欄_報告書②3">#REF!,#REF!,#REF!,#REF!,#REF!,#REF!</definedName>
    <definedName name="年リスト">#REF!</definedName>
    <definedName name="非化石燃料" localSheetId="10">'係数（事業所用）'!$B$33:$B$49</definedName>
    <definedName name="非化石燃料">'係数（車両用）'!$B$33:$B$49</definedName>
    <definedName name="非化石燃料2023" localSheetId="10">'係数（事業所用）'!$B$33:$K$49</definedName>
    <definedName name="非化石燃料2023">'係数（車両用）'!$B$33:$K$49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9" l="1"/>
  <c r="J15" i="19"/>
  <c r="E104" i="15"/>
  <c r="E103" i="14"/>
  <c r="E102" i="13"/>
  <c r="AE106" i="14"/>
  <c r="AE106" i="15"/>
  <c r="AE106" i="13"/>
  <c r="B27" i="5"/>
  <c r="A82" i="15"/>
  <c r="A82" i="14"/>
  <c r="A82" i="13"/>
  <c r="A82" i="1"/>
  <c r="C87" i="14" l="1"/>
  <c r="C88" i="14"/>
  <c r="C89" i="14"/>
  <c r="C90" i="14"/>
  <c r="C91" i="14"/>
  <c r="C92" i="14"/>
  <c r="C93" i="14"/>
  <c r="C94" i="14"/>
  <c r="C95" i="14" s="1"/>
  <c r="C96" i="14" s="1"/>
  <c r="C97" i="14" s="1"/>
  <c r="C98" i="14" s="1"/>
  <c r="C99" i="14" s="1"/>
  <c r="C100" i="14" s="1"/>
  <c r="C101" i="14" s="1"/>
  <c r="C102" i="14" s="1"/>
  <c r="C103" i="14" s="1"/>
  <c r="C104" i="14" s="1"/>
  <c r="C105" i="14" s="1"/>
  <c r="C87" i="15"/>
  <c r="C88" i="15" s="1"/>
  <c r="C89" i="15" s="1"/>
  <c r="C90" i="15" s="1"/>
  <c r="C91" i="15" s="1"/>
  <c r="C92" i="15" s="1"/>
  <c r="C93" i="15" s="1"/>
  <c r="C94" i="15" s="1"/>
  <c r="C95" i="15" s="1"/>
  <c r="C96" i="15" s="1"/>
  <c r="C97" i="15" s="1"/>
  <c r="C98" i="15" s="1"/>
  <c r="C99" i="15" s="1"/>
  <c r="C100" i="15" s="1"/>
  <c r="C101" i="15" s="1"/>
  <c r="C102" i="15" s="1"/>
  <c r="C103" i="15" s="1"/>
  <c r="C104" i="15" s="1"/>
  <c r="C105" i="15" s="1"/>
  <c r="C87" i="1"/>
  <c r="C88" i="1"/>
  <c r="C89" i="1"/>
  <c r="C90" i="1"/>
  <c r="C91" i="1"/>
  <c r="C92" i="1"/>
  <c r="C93" i="1" s="1"/>
  <c r="C94" i="1" s="1"/>
  <c r="C95" i="1" s="1"/>
  <c r="C96" i="1" s="1"/>
  <c r="C97" i="1" s="1"/>
  <c r="C98" i="1" s="1"/>
  <c r="C99" i="1" s="1"/>
  <c r="C100" i="1" s="1"/>
  <c r="C101" i="1" s="1"/>
  <c r="C102" i="1" s="1"/>
  <c r="C103" i="1" s="1"/>
  <c r="C104" i="1" s="1"/>
  <c r="C105" i="1" s="1"/>
  <c r="C86" i="13"/>
  <c r="C87" i="13" s="1"/>
  <c r="C88" i="13" s="1"/>
  <c r="C89" i="13" s="1"/>
  <c r="C90" i="13" s="1"/>
  <c r="C91" i="13" s="1"/>
  <c r="C92" i="13" s="1"/>
  <c r="C93" i="13" s="1"/>
  <c r="C94" i="13" s="1"/>
  <c r="C95" i="13" s="1"/>
  <c r="C96" i="13" s="1"/>
  <c r="C97" i="13" s="1"/>
  <c r="C98" i="13" s="1"/>
  <c r="C99" i="13" s="1"/>
  <c r="C100" i="13" s="1"/>
  <c r="C101" i="13" s="1"/>
  <c r="C102" i="13" s="1"/>
  <c r="C103" i="13" s="1"/>
  <c r="C104" i="13" s="1"/>
  <c r="C105" i="13" s="1"/>
  <c r="C86" i="14"/>
  <c r="C86" i="15"/>
  <c r="C86" i="1"/>
  <c r="AP89" i="15"/>
  <c r="AO89" i="15"/>
  <c r="AN89" i="15"/>
  <c r="AM89" i="15"/>
  <c r="AP88" i="15"/>
  <c r="AO88" i="15"/>
  <c r="AP88" i="14"/>
  <c r="AO88" i="14"/>
  <c r="AN88" i="14"/>
  <c r="AN88" i="15" s="1"/>
  <c r="AM88" i="14"/>
  <c r="AM88" i="15" s="1"/>
  <c r="AP87" i="13"/>
  <c r="AP87" i="14" s="1"/>
  <c r="AO87" i="13"/>
  <c r="AO87" i="15" s="1"/>
  <c r="AN87" i="13"/>
  <c r="AN87" i="14" s="1"/>
  <c r="AM87" i="13"/>
  <c r="AM87" i="14" s="1"/>
  <c r="AP86" i="1"/>
  <c r="AO86" i="1"/>
  <c r="AN86" i="1"/>
  <c r="AM86" i="1"/>
  <c r="AM87" i="15" l="1"/>
  <c r="AN87" i="15"/>
  <c r="AQ89" i="15"/>
  <c r="AQ88" i="14"/>
  <c r="AQ88" i="15" s="1"/>
  <c r="AQ86" i="1"/>
  <c r="AQ87" i="13"/>
  <c r="AP87" i="15"/>
  <c r="AO87" i="14"/>
  <c r="AH100" i="13"/>
  <c r="AA100" i="14" s="1"/>
  <c r="E100" i="13"/>
  <c r="AH100" i="14"/>
  <c r="AA100" i="15" s="1"/>
  <c r="E100" i="14"/>
  <c r="AH100" i="15"/>
  <c r="E100" i="15"/>
  <c r="AH100" i="1"/>
  <c r="AA100" i="13" s="1"/>
  <c r="E100" i="1"/>
  <c r="AQ87" i="14" l="1"/>
  <c r="AQ87" i="15"/>
  <c r="H37" i="19"/>
  <c r="G37" i="19"/>
  <c r="F37" i="19"/>
  <c r="H36" i="19"/>
  <c r="G36" i="19"/>
  <c r="F36" i="19"/>
  <c r="E36" i="19"/>
  <c r="H20" i="19"/>
  <c r="H19" i="19"/>
  <c r="G20" i="19"/>
  <c r="G19" i="19"/>
  <c r="F20" i="19"/>
  <c r="F19" i="19"/>
  <c r="E19" i="19"/>
  <c r="H49" i="19"/>
  <c r="H48" i="19"/>
  <c r="H47" i="19"/>
  <c r="B49" i="19"/>
  <c r="B48" i="19"/>
  <c r="B47" i="19"/>
  <c r="D34" i="19"/>
  <c r="E8" i="19"/>
  <c r="B37" i="15" l="1"/>
  <c r="B37" i="14"/>
  <c r="B37" i="13"/>
  <c r="B37" i="1"/>
  <c r="F48" i="13"/>
  <c r="F48" i="14"/>
  <c r="F48" i="15"/>
  <c r="F48" i="1"/>
  <c r="M48" i="13"/>
  <c r="M48" i="14"/>
  <c r="M48" i="15"/>
  <c r="M48" i="1"/>
  <c r="AA18" i="13" l="1"/>
  <c r="AA18" i="14"/>
  <c r="AA18" i="15"/>
  <c r="AA18" i="1"/>
  <c r="AI76" i="1" l="1"/>
  <c r="BU35" i="13"/>
  <c r="BV35" i="13"/>
  <c r="BW35" i="13"/>
  <c r="BX35" i="13"/>
  <c r="BY35" i="13"/>
  <c r="BZ35" i="13"/>
  <c r="CA35" i="13"/>
  <c r="CB35" i="13"/>
  <c r="CC35" i="13"/>
  <c r="CD35" i="13"/>
  <c r="CE35" i="13"/>
  <c r="BU35" i="14"/>
  <c r="BV35" i="14"/>
  <c r="BW35" i="14"/>
  <c r="BX35" i="14"/>
  <c r="BY35" i="14"/>
  <c r="BZ35" i="14"/>
  <c r="CA35" i="14"/>
  <c r="CB35" i="14"/>
  <c r="CC35" i="14"/>
  <c r="CD35" i="14"/>
  <c r="CE35" i="14"/>
  <c r="BU35" i="15"/>
  <c r="BV35" i="15"/>
  <c r="BW35" i="15"/>
  <c r="BX35" i="15"/>
  <c r="BY35" i="15"/>
  <c r="BZ35" i="15"/>
  <c r="CA35" i="15"/>
  <c r="CB35" i="15"/>
  <c r="CC35" i="15"/>
  <c r="CD35" i="15"/>
  <c r="CE35" i="15"/>
  <c r="BU35" i="1"/>
  <c r="BV35" i="1"/>
  <c r="BW35" i="1"/>
  <c r="BX35" i="1"/>
  <c r="BY35" i="1"/>
  <c r="BZ35" i="1"/>
  <c r="CA35" i="1"/>
  <c r="CB35" i="1"/>
  <c r="CC35" i="1"/>
  <c r="CD35" i="1"/>
  <c r="CE35" i="1"/>
  <c r="BT35" i="13"/>
  <c r="BT35" i="14"/>
  <c r="BT35" i="15"/>
  <c r="BT35" i="1"/>
  <c r="BU29" i="13"/>
  <c r="BV29" i="13"/>
  <c r="BW29" i="13"/>
  <c r="BX29" i="13"/>
  <c r="BY29" i="13"/>
  <c r="BZ29" i="13"/>
  <c r="CA29" i="13"/>
  <c r="CB29" i="13"/>
  <c r="CC29" i="13"/>
  <c r="CD29" i="13"/>
  <c r="CE29" i="13"/>
  <c r="BU29" i="14"/>
  <c r="BV29" i="14"/>
  <c r="BW29" i="14"/>
  <c r="BX29" i="14"/>
  <c r="BY29" i="14"/>
  <c r="BZ29" i="14"/>
  <c r="CA29" i="14"/>
  <c r="CB29" i="14"/>
  <c r="CC29" i="14"/>
  <c r="CD29" i="14"/>
  <c r="CE29" i="14"/>
  <c r="BU29" i="15"/>
  <c r="BV29" i="15"/>
  <c r="BW29" i="15"/>
  <c r="BX29" i="15"/>
  <c r="BY29" i="15"/>
  <c r="BZ29" i="15"/>
  <c r="CA29" i="15"/>
  <c r="CB29" i="15"/>
  <c r="CC29" i="15"/>
  <c r="CD29" i="15"/>
  <c r="CE29" i="15"/>
  <c r="BU29" i="1"/>
  <c r="BV29" i="1"/>
  <c r="BW29" i="1"/>
  <c r="BX29" i="1"/>
  <c r="BY29" i="1"/>
  <c r="BZ29" i="1"/>
  <c r="CA29" i="1"/>
  <c r="CB29" i="1"/>
  <c r="CC29" i="1"/>
  <c r="CD29" i="1"/>
  <c r="CE29" i="1"/>
  <c r="BT29" i="13"/>
  <c r="BT29" i="14"/>
  <c r="BT29" i="15"/>
  <c r="BT29" i="1"/>
  <c r="CF34" i="13"/>
  <c r="CF33" i="13"/>
  <c r="CF32" i="13"/>
  <c r="CF31" i="13"/>
  <c r="CF30" i="13"/>
  <c r="CF34" i="14"/>
  <c r="CF33" i="14"/>
  <c r="CF32" i="14"/>
  <c r="CF31" i="14"/>
  <c r="CF30" i="14"/>
  <c r="CF34" i="15"/>
  <c r="CF33" i="15"/>
  <c r="CF32" i="15"/>
  <c r="CF31" i="15"/>
  <c r="CF30" i="15"/>
  <c r="CF34" i="1"/>
  <c r="CF33" i="1"/>
  <c r="CF32" i="1"/>
  <c r="CF31" i="1"/>
  <c r="CF30" i="1"/>
  <c r="BH34" i="13"/>
  <c r="BG34" i="13"/>
  <c r="BF34" i="13"/>
  <c r="BE34" i="13"/>
  <c r="BD34" i="13"/>
  <c r="BC34" i="13"/>
  <c r="BB34" i="13"/>
  <c r="BA34" i="13"/>
  <c r="AZ34" i="13"/>
  <c r="AY34" i="13"/>
  <c r="AX34" i="13"/>
  <c r="AW34" i="13"/>
  <c r="BH34" i="14"/>
  <c r="BG34" i="14"/>
  <c r="BF34" i="14"/>
  <c r="BE34" i="14"/>
  <c r="BD34" i="14"/>
  <c r="BC34" i="14"/>
  <c r="BB34" i="14"/>
  <c r="BA34" i="14"/>
  <c r="AZ34" i="14"/>
  <c r="AY34" i="14"/>
  <c r="AX34" i="14"/>
  <c r="AW34" i="14"/>
  <c r="BH34" i="15"/>
  <c r="BG34" i="15"/>
  <c r="BF34" i="15"/>
  <c r="BE34" i="15"/>
  <c r="BD34" i="15"/>
  <c r="BC34" i="15"/>
  <c r="BB34" i="15"/>
  <c r="BA34" i="15"/>
  <c r="AZ34" i="15"/>
  <c r="AY34" i="15"/>
  <c r="AX34" i="15"/>
  <c r="AW34" i="15"/>
  <c r="BH34" i="1"/>
  <c r="BG34" i="1"/>
  <c r="BF34" i="1"/>
  <c r="BE34" i="1"/>
  <c r="BD34" i="1"/>
  <c r="BC34" i="1"/>
  <c r="BB34" i="1"/>
  <c r="BA34" i="1"/>
  <c r="AZ34" i="1"/>
  <c r="AY34" i="1"/>
  <c r="AX34" i="1"/>
  <c r="AW34" i="1"/>
  <c r="AW31" i="13"/>
  <c r="AX31" i="13"/>
  <c r="AY31" i="13"/>
  <c r="AZ31" i="13"/>
  <c r="BA31" i="13"/>
  <c r="BB31" i="13"/>
  <c r="BC31" i="13"/>
  <c r="BD31" i="13"/>
  <c r="BE31" i="13"/>
  <c r="BF31" i="13"/>
  <c r="BG31" i="13"/>
  <c r="BH31" i="13"/>
  <c r="AW32" i="13"/>
  <c r="AX32" i="13"/>
  <c r="AY32" i="13"/>
  <c r="AZ32" i="13"/>
  <c r="BA32" i="13"/>
  <c r="BB32" i="13"/>
  <c r="BC32" i="13"/>
  <c r="BD32" i="13"/>
  <c r="BE32" i="13"/>
  <c r="BF32" i="13"/>
  <c r="BG32" i="13"/>
  <c r="BH32" i="13"/>
  <c r="AW33" i="13"/>
  <c r="AX33" i="13"/>
  <c r="AY33" i="13"/>
  <c r="AZ33" i="13"/>
  <c r="BA33" i="13"/>
  <c r="BB33" i="13"/>
  <c r="BC33" i="13"/>
  <c r="BD33" i="13"/>
  <c r="BE33" i="13"/>
  <c r="BF33" i="13"/>
  <c r="BG33" i="13"/>
  <c r="BH33" i="13"/>
  <c r="AW31" i="14"/>
  <c r="AX31" i="14"/>
  <c r="AY31" i="14"/>
  <c r="AZ31" i="14"/>
  <c r="BA31" i="14"/>
  <c r="BB31" i="14"/>
  <c r="BC31" i="14"/>
  <c r="BD31" i="14"/>
  <c r="BE31" i="14"/>
  <c r="BF31" i="14"/>
  <c r="BG31" i="14"/>
  <c r="BH31" i="14"/>
  <c r="AW32" i="14"/>
  <c r="AX32" i="14"/>
  <c r="AY32" i="14"/>
  <c r="AZ32" i="14"/>
  <c r="BA32" i="14"/>
  <c r="BB32" i="14"/>
  <c r="BC32" i="14"/>
  <c r="BD32" i="14"/>
  <c r="BE32" i="14"/>
  <c r="BF32" i="14"/>
  <c r="BG32" i="14"/>
  <c r="BH32" i="14"/>
  <c r="AW33" i="14"/>
  <c r="AX33" i="14"/>
  <c r="AY33" i="14"/>
  <c r="AZ33" i="14"/>
  <c r="BA33" i="14"/>
  <c r="BB33" i="14"/>
  <c r="BC33" i="14"/>
  <c r="BD33" i="14"/>
  <c r="BE33" i="14"/>
  <c r="BF33" i="14"/>
  <c r="BG33" i="14"/>
  <c r="BH33" i="14"/>
  <c r="AW31" i="15"/>
  <c r="AX31" i="15"/>
  <c r="AY31" i="15"/>
  <c r="AZ31" i="15"/>
  <c r="BA31" i="15"/>
  <c r="BB31" i="15"/>
  <c r="BC31" i="15"/>
  <c r="BD31" i="15"/>
  <c r="BE31" i="15"/>
  <c r="BF31" i="15"/>
  <c r="BG31" i="15"/>
  <c r="BH31" i="15"/>
  <c r="AW32" i="15"/>
  <c r="AX32" i="15"/>
  <c r="AY32" i="15"/>
  <c r="AZ32" i="15"/>
  <c r="BA32" i="15"/>
  <c r="BB32" i="15"/>
  <c r="BC32" i="15"/>
  <c r="BD32" i="15"/>
  <c r="BE32" i="15"/>
  <c r="BF32" i="15"/>
  <c r="BG32" i="15"/>
  <c r="BH32" i="15"/>
  <c r="AW33" i="15"/>
  <c r="AX33" i="15"/>
  <c r="AY33" i="15"/>
  <c r="AZ33" i="15"/>
  <c r="BA33" i="15"/>
  <c r="BB33" i="15"/>
  <c r="BC33" i="15"/>
  <c r="BD33" i="15"/>
  <c r="BE33" i="15"/>
  <c r="BF33" i="15"/>
  <c r="BG33" i="15"/>
  <c r="BH33" i="15"/>
  <c r="AW31" i="1"/>
  <c r="AX31" i="1"/>
  <c r="AY31" i="1"/>
  <c r="AZ31" i="1"/>
  <c r="BA31" i="1"/>
  <c r="BB31" i="1"/>
  <c r="BC31" i="1"/>
  <c r="BD31" i="1"/>
  <c r="BE31" i="1"/>
  <c r="BF31" i="1"/>
  <c r="BG31" i="1"/>
  <c r="BH31" i="1"/>
  <c r="AW32" i="1"/>
  <c r="AX32" i="1"/>
  <c r="AY32" i="1"/>
  <c r="AZ32" i="1"/>
  <c r="BA32" i="1"/>
  <c r="BB32" i="1"/>
  <c r="BC32" i="1"/>
  <c r="BD32" i="1"/>
  <c r="BE32" i="1"/>
  <c r="BF32" i="1"/>
  <c r="BG32" i="1"/>
  <c r="BH32" i="1"/>
  <c r="AW33" i="1"/>
  <c r="AX33" i="1"/>
  <c r="AY33" i="1"/>
  <c r="AZ33" i="1"/>
  <c r="BA33" i="1"/>
  <c r="BB33" i="1"/>
  <c r="BC33" i="1"/>
  <c r="BD33" i="1"/>
  <c r="BE33" i="1"/>
  <c r="BF33" i="1"/>
  <c r="BG33" i="1"/>
  <c r="BH33" i="1"/>
  <c r="BH30" i="13"/>
  <c r="BG30" i="13"/>
  <c r="BF30" i="13"/>
  <c r="BE30" i="13"/>
  <c r="BD30" i="13"/>
  <c r="BC30" i="13"/>
  <c r="BB30" i="13"/>
  <c r="BA30" i="13"/>
  <c r="AZ30" i="13"/>
  <c r="AY30" i="13"/>
  <c r="AX30" i="13"/>
  <c r="AW30" i="13"/>
  <c r="BH30" i="14"/>
  <c r="BG30" i="14"/>
  <c r="BF30" i="14"/>
  <c r="BE30" i="14"/>
  <c r="BD30" i="14"/>
  <c r="BC30" i="14"/>
  <c r="BB30" i="14"/>
  <c r="BA30" i="14"/>
  <c r="AZ30" i="14"/>
  <c r="AY30" i="14"/>
  <c r="AX30" i="14"/>
  <c r="AW30" i="14"/>
  <c r="BH30" i="15"/>
  <c r="BG30" i="15"/>
  <c r="BF30" i="15"/>
  <c r="BE30" i="15"/>
  <c r="BD30" i="15"/>
  <c r="BC30" i="15"/>
  <c r="BB30" i="15"/>
  <c r="BA30" i="15"/>
  <c r="AZ30" i="15"/>
  <c r="AY30" i="15"/>
  <c r="AX30" i="15"/>
  <c r="AW30" i="15"/>
  <c r="BH30" i="1"/>
  <c r="BG30" i="1"/>
  <c r="BF30" i="1"/>
  <c r="BE30" i="1"/>
  <c r="BD30" i="1"/>
  <c r="BC30" i="1"/>
  <c r="BB30" i="1"/>
  <c r="BA30" i="1"/>
  <c r="AZ30" i="1"/>
  <c r="AY30" i="1"/>
  <c r="AX30" i="1"/>
  <c r="AW30" i="1"/>
  <c r="AO30" i="13"/>
  <c r="AO30" i="14"/>
  <c r="AO30" i="15"/>
  <c r="AO30" i="1"/>
  <c r="AO34" i="1"/>
  <c r="AL34" i="1"/>
  <c r="AK34" i="1"/>
  <c r="AJ34" i="1"/>
  <c r="AP34" i="1" s="1"/>
  <c r="AR32" i="13"/>
  <c r="AR32" i="14"/>
  <c r="AR32" i="15"/>
  <c r="AR32" i="1"/>
  <c r="W30" i="13"/>
  <c r="AI30" i="13" s="1"/>
  <c r="W31" i="13"/>
  <c r="AI31" i="13" s="1"/>
  <c r="W32" i="13"/>
  <c r="W33" i="13"/>
  <c r="AI33" i="13" s="1"/>
  <c r="W34" i="13"/>
  <c r="W30" i="14"/>
  <c r="AI30" i="14" s="1"/>
  <c r="W31" i="14"/>
  <c r="AI31" i="14" s="1"/>
  <c r="W32" i="14"/>
  <c r="W33" i="14"/>
  <c r="AI33" i="14" s="1"/>
  <c r="W34" i="14"/>
  <c r="W30" i="15"/>
  <c r="AI30" i="15" s="1"/>
  <c r="W31" i="15"/>
  <c r="AI31" i="15" s="1"/>
  <c r="W32" i="15"/>
  <c r="W33" i="15"/>
  <c r="AI33" i="15" s="1"/>
  <c r="W34" i="15"/>
  <c r="W30" i="1"/>
  <c r="AI30" i="1" s="1"/>
  <c r="W31" i="1"/>
  <c r="AI31" i="1" s="1"/>
  <c r="W32" i="1"/>
  <c r="W33" i="1"/>
  <c r="AI33" i="1" s="1"/>
  <c r="W34" i="1"/>
  <c r="AI34" i="1" s="1"/>
  <c r="J34" i="1"/>
  <c r="AV34" i="1" s="1"/>
  <c r="E34" i="13"/>
  <c r="E34" i="14" s="1"/>
  <c r="AG34" i="1"/>
  <c r="AG34" i="14" l="1"/>
  <c r="E34" i="15"/>
  <c r="CF29" i="14"/>
  <c r="CF29" i="13"/>
  <c r="CF29" i="1"/>
  <c r="CF29" i="15"/>
  <c r="CF35" i="1"/>
  <c r="CF35" i="13"/>
  <c r="CF35" i="15"/>
  <c r="CF35" i="14"/>
  <c r="AI32" i="14"/>
  <c r="AI32" i="1"/>
  <c r="AI32" i="15"/>
  <c r="AI32" i="13"/>
  <c r="X30" i="13"/>
  <c r="BK30" i="13" s="1"/>
  <c r="X30" i="15"/>
  <c r="BK30" i="15" s="1"/>
  <c r="X30" i="14"/>
  <c r="BK30" i="14" s="1"/>
  <c r="AM34" i="1"/>
  <c r="BR34" i="1" s="1"/>
  <c r="J34" i="13"/>
  <c r="AV34" i="13" s="1"/>
  <c r="AO34" i="14"/>
  <c r="AJ34" i="13"/>
  <c r="AP34" i="13" s="1"/>
  <c r="AO34" i="13"/>
  <c r="AI34" i="14"/>
  <c r="J34" i="14"/>
  <c r="AV34" i="14" s="1"/>
  <c r="AL34" i="13"/>
  <c r="AJ34" i="14"/>
  <c r="AP34" i="14" s="1"/>
  <c r="AK34" i="14"/>
  <c r="AK34" i="13"/>
  <c r="AI34" i="13"/>
  <c r="AL34" i="14"/>
  <c r="X30" i="1"/>
  <c r="BK30" i="1" s="1"/>
  <c r="X34" i="1"/>
  <c r="AG34" i="13"/>
  <c r="AM34" i="14" l="1"/>
  <c r="BR34" i="14" s="1"/>
  <c r="BK34" i="1"/>
  <c r="BI34" i="1"/>
  <c r="AU34" i="1"/>
  <c r="X34" i="14"/>
  <c r="AG34" i="15"/>
  <c r="AL34" i="15"/>
  <c r="AI34" i="15"/>
  <c r="AK34" i="15"/>
  <c r="AJ34" i="15"/>
  <c r="AP34" i="15" s="1"/>
  <c r="J34" i="15"/>
  <c r="AV34" i="15" s="1"/>
  <c r="AO34" i="15"/>
  <c r="AM34" i="13"/>
  <c r="BR34" i="13" s="1"/>
  <c r="X34" i="13"/>
  <c r="E33" i="13"/>
  <c r="BR33" i="13" s="1"/>
  <c r="E33" i="14"/>
  <c r="BR33" i="14" s="1"/>
  <c r="E33" i="15"/>
  <c r="BR33" i="15" s="1"/>
  <c r="E33" i="1"/>
  <c r="BR33" i="1" s="1"/>
  <c r="E32" i="13"/>
  <c r="BR32" i="13" s="1"/>
  <c r="E32" i="14"/>
  <c r="BR32" i="14" s="1"/>
  <c r="E32" i="15"/>
  <c r="BR32" i="15" s="1"/>
  <c r="E32" i="1"/>
  <c r="BR32" i="1" s="1"/>
  <c r="E31" i="13"/>
  <c r="BR31" i="13" s="1"/>
  <c r="E31" i="14"/>
  <c r="BR31" i="14" s="1"/>
  <c r="E31" i="15"/>
  <c r="BR31" i="15" s="1"/>
  <c r="E31" i="1"/>
  <c r="BR31" i="1" s="1"/>
  <c r="E30" i="13"/>
  <c r="BR30" i="13" s="1"/>
  <c r="E30" i="14"/>
  <c r="BR30" i="14" s="1"/>
  <c r="E30" i="15"/>
  <c r="BR30" i="15" s="1"/>
  <c r="E30" i="1"/>
  <c r="BR30" i="1" s="1"/>
  <c r="AL32" i="15" l="1"/>
  <c r="AU32" i="15"/>
  <c r="AJ32" i="15"/>
  <c r="AP32" i="15" s="1"/>
  <c r="J32" i="15"/>
  <c r="AV32" i="15" s="1"/>
  <c r="AK32" i="15"/>
  <c r="AM32" i="15" s="1"/>
  <c r="BI32" i="15" s="1"/>
  <c r="AO32" i="15"/>
  <c r="X32" i="15" s="1"/>
  <c r="BK32" i="15" s="1"/>
  <c r="AU32" i="14"/>
  <c r="AL32" i="14"/>
  <c r="AK32" i="14"/>
  <c r="AM32" i="14" s="1"/>
  <c r="BI32" i="14" s="1"/>
  <c r="AJ32" i="14"/>
  <c r="AP32" i="14" s="1"/>
  <c r="AO32" i="14"/>
  <c r="X32" i="14" s="1"/>
  <c r="BK32" i="14" s="1"/>
  <c r="J32" i="14"/>
  <c r="AV32" i="14" s="1"/>
  <c r="AU32" i="13"/>
  <c r="AL32" i="13"/>
  <c r="J32" i="13"/>
  <c r="AV32" i="13" s="1"/>
  <c r="AO32" i="13"/>
  <c r="X32" i="13" s="1"/>
  <c r="BK32" i="13" s="1"/>
  <c r="AK32" i="13"/>
  <c r="AM32" i="13" s="1"/>
  <c r="BI32" i="13" s="1"/>
  <c r="AJ32" i="13"/>
  <c r="AP32" i="13" s="1"/>
  <c r="AK30" i="15"/>
  <c r="AM30" i="15" s="1"/>
  <c r="BI30" i="15" s="1"/>
  <c r="AU30" i="15"/>
  <c r="AJ30" i="15"/>
  <c r="AP30" i="15" s="1"/>
  <c r="J30" i="15"/>
  <c r="AV30" i="15" s="1"/>
  <c r="AL30" i="15"/>
  <c r="AJ33" i="15"/>
  <c r="AP33" i="15" s="1"/>
  <c r="AU33" i="15"/>
  <c r="AO33" i="15"/>
  <c r="X33" i="15" s="1"/>
  <c r="BK33" i="15" s="1"/>
  <c r="AL33" i="15"/>
  <c r="AK33" i="15"/>
  <c r="AM33" i="15" s="1"/>
  <c r="BI33" i="15" s="1"/>
  <c r="J33" i="15"/>
  <c r="AV33" i="15" s="1"/>
  <c r="AL30" i="14"/>
  <c r="AU30" i="14"/>
  <c r="AJ30" i="14"/>
  <c r="AP30" i="14" s="1"/>
  <c r="J30" i="14"/>
  <c r="AV30" i="14" s="1"/>
  <c r="AK30" i="14"/>
  <c r="AM30" i="14" s="1"/>
  <c r="BI30" i="14" s="1"/>
  <c r="AK33" i="14"/>
  <c r="AM33" i="14" s="1"/>
  <c r="BI33" i="14" s="1"/>
  <c r="AU33" i="14"/>
  <c r="AJ33" i="14"/>
  <c r="AP33" i="14" s="1"/>
  <c r="J33" i="14"/>
  <c r="AV33" i="14" s="1"/>
  <c r="AO33" i="14"/>
  <c r="X33" i="14" s="1"/>
  <c r="BK33" i="14" s="1"/>
  <c r="AL33" i="14"/>
  <c r="AJ30" i="13"/>
  <c r="AP30" i="13" s="1"/>
  <c r="J30" i="13"/>
  <c r="AV30" i="13" s="1"/>
  <c r="AU30" i="13"/>
  <c r="AK30" i="13"/>
  <c r="AM30" i="13" s="1"/>
  <c r="BI30" i="13" s="1"/>
  <c r="AL30" i="13"/>
  <c r="AJ33" i="13"/>
  <c r="AP33" i="13" s="1"/>
  <c r="AL33" i="13"/>
  <c r="J33" i="13"/>
  <c r="AV33" i="13" s="1"/>
  <c r="AO33" i="13"/>
  <c r="X33" i="13" s="1"/>
  <c r="BK33" i="13" s="1"/>
  <c r="AK33" i="13"/>
  <c r="AM33" i="13" s="1"/>
  <c r="BI33" i="13" s="1"/>
  <c r="AU33" i="13"/>
  <c r="AJ31" i="13"/>
  <c r="AP31" i="13" s="1"/>
  <c r="AO31" i="13"/>
  <c r="X31" i="13" s="1"/>
  <c r="BK31" i="13" s="1"/>
  <c r="J31" i="13"/>
  <c r="AV31" i="13" s="1"/>
  <c r="AL31" i="13"/>
  <c r="AU31" i="13"/>
  <c r="AK31" i="13"/>
  <c r="AM31" i="13" s="1"/>
  <c r="BI31" i="13" s="1"/>
  <c r="AK32" i="1"/>
  <c r="AM32" i="1" s="1"/>
  <c r="BI32" i="1" s="1"/>
  <c r="AJ32" i="1"/>
  <c r="AP32" i="1" s="1"/>
  <c r="AU32" i="1"/>
  <c r="AO32" i="1"/>
  <c r="X32" i="1" s="1"/>
  <c r="BK32" i="1" s="1"/>
  <c r="AL32" i="1"/>
  <c r="J32" i="1"/>
  <c r="AV32" i="1" s="1"/>
  <c r="J30" i="1"/>
  <c r="AV30" i="1" s="1"/>
  <c r="AK30" i="1"/>
  <c r="AM30" i="1" s="1"/>
  <c r="BI30" i="1" s="1"/>
  <c r="AL30" i="1"/>
  <c r="AU30" i="1"/>
  <c r="AJ30" i="1"/>
  <c r="AP30" i="1" s="1"/>
  <c r="AJ33" i="1"/>
  <c r="AP33" i="1" s="1"/>
  <c r="J33" i="1"/>
  <c r="AV33" i="1" s="1"/>
  <c r="AL33" i="1"/>
  <c r="AK33" i="1"/>
  <c r="AM33" i="1" s="1"/>
  <c r="BI33" i="1" s="1"/>
  <c r="AO33" i="1"/>
  <c r="X33" i="1" s="1"/>
  <c r="BK33" i="1" s="1"/>
  <c r="AU33" i="1"/>
  <c r="AO31" i="1"/>
  <c r="X31" i="1" s="1"/>
  <c r="AL31" i="1"/>
  <c r="AK31" i="1"/>
  <c r="AM31" i="1" s="1"/>
  <c r="BI31" i="1" s="1"/>
  <c r="J31" i="1"/>
  <c r="AV31" i="1" s="1"/>
  <c r="AJ31" i="1"/>
  <c r="AP31" i="1" s="1"/>
  <c r="AU31" i="1"/>
  <c r="AO31" i="15"/>
  <c r="X31" i="15" s="1"/>
  <c r="BK31" i="15" s="1"/>
  <c r="AL31" i="15"/>
  <c r="AJ31" i="15"/>
  <c r="AP31" i="15" s="1"/>
  <c r="AK31" i="15"/>
  <c r="AM31" i="15" s="1"/>
  <c r="BI31" i="15" s="1"/>
  <c r="J31" i="15"/>
  <c r="AV31" i="15" s="1"/>
  <c r="AU31" i="15"/>
  <c r="J31" i="14"/>
  <c r="AV31" i="14" s="1"/>
  <c r="AJ31" i="14"/>
  <c r="AP31" i="14" s="1"/>
  <c r="AO31" i="14"/>
  <c r="X31" i="14" s="1"/>
  <c r="BK31" i="14" s="1"/>
  <c r="AL31" i="14"/>
  <c r="AU31" i="14"/>
  <c r="AK31" i="14"/>
  <c r="AM31" i="14" s="1"/>
  <c r="BI31" i="14" s="1"/>
  <c r="BK34" i="14"/>
  <c r="BK34" i="13"/>
  <c r="AU34" i="13"/>
  <c r="BI34" i="13"/>
  <c r="AU34" i="14"/>
  <c r="BI34" i="14"/>
  <c r="AM34" i="15"/>
  <c r="BR34" i="15" s="1"/>
  <c r="X34" i="15"/>
  <c r="P17" i="11"/>
  <c r="X35" i="13" l="1"/>
  <c r="X35" i="14"/>
  <c r="BK31" i="1"/>
  <c r="X35" i="1"/>
  <c r="BI34" i="15"/>
  <c r="AU34" i="15"/>
  <c r="X35" i="15"/>
  <c r="BK34" i="15"/>
  <c r="E27" i="13"/>
  <c r="A8" i="16" s="1"/>
  <c r="E27" i="14"/>
  <c r="A18" i="16" s="1"/>
  <c r="E27" i="15"/>
  <c r="A28" i="16" s="1"/>
  <c r="E27" i="1"/>
  <c r="D25" i="8"/>
  <c r="AU27" i="13" l="1"/>
  <c r="AU82" i="13"/>
  <c r="AI75" i="13"/>
  <c r="AU27" i="15"/>
  <c r="AU82" i="15"/>
  <c r="AI75" i="15"/>
  <c r="AU27" i="14"/>
  <c r="AU82" i="14"/>
  <c r="AI75" i="14"/>
  <c r="AU27" i="1"/>
  <c r="AU82" i="1"/>
  <c r="AI75" i="1"/>
  <c r="S80" i="18"/>
  <c r="R80" i="18"/>
  <c r="Q80" i="18"/>
  <c r="P80" i="18"/>
  <c r="S79" i="18"/>
  <c r="R79" i="18"/>
  <c r="Q79" i="18"/>
  <c r="P79" i="18"/>
  <c r="S78" i="18"/>
  <c r="R78" i="18"/>
  <c r="Q78" i="18"/>
  <c r="P78" i="18"/>
  <c r="S77" i="18"/>
  <c r="R77" i="18"/>
  <c r="Q77" i="18"/>
  <c r="P77" i="18"/>
  <c r="S76" i="18"/>
  <c r="R76" i="18"/>
  <c r="Q76" i="18"/>
  <c r="P76" i="18"/>
  <c r="S75" i="18"/>
  <c r="R75" i="18"/>
  <c r="Q75" i="18"/>
  <c r="P75" i="18"/>
  <c r="S74" i="18"/>
  <c r="R74" i="18"/>
  <c r="Q74" i="18"/>
  <c r="P74" i="18"/>
  <c r="S73" i="18"/>
  <c r="R73" i="18"/>
  <c r="Q73" i="18"/>
  <c r="P73" i="18"/>
  <c r="S72" i="18"/>
  <c r="R72" i="18"/>
  <c r="Q72" i="18"/>
  <c r="P72" i="18"/>
  <c r="S71" i="18"/>
  <c r="R71" i="18"/>
  <c r="Q71" i="18"/>
  <c r="P71" i="18"/>
  <c r="S70" i="18"/>
  <c r="R70" i="18"/>
  <c r="Q70" i="18"/>
  <c r="P70" i="18"/>
  <c r="S69" i="18"/>
  <c r="R69" i="18"/>
  <c r="Q69" i="18"/>
  <c r="P69" i="18"/>
  <c r="S68" i="18"/>
  <c r="R68" i="18"/>
  <c r="Q68" i="18"/>
  <c r="P68" i="18"/>
  <c r="S67" i="18"/>
  <c r="R67" i="18"/>
  <c r="Q67" i="18"/>
  <c r="P67" i="18"/>
  <c r="S66" i="18"/>
  <c r="R66" i="18"/>
  <c r="Q66" i="18"/>
  <c r="P66" i="18"/>
  <c r="S65" i="18"/>
  <c r="R65" i="18"/>
  <c r="Q65" i="18"/>
  <c r="P65" i="18"/>
  <c r="S64" i="18"/>
  <c r="R64" i="18"/>
  <c r="Q64" i="18"/>
  <c r="P64" i="18"/>
  <c r="S63" i="18"/>
  <c r="R63" i="18"/>
  <c r="Q63" i="18"/>
  <c r="P63" i="18"/>
  <c r="S62" i="18"/>
  <c r="R62" i="18"/>
  <c r="Q62" i="18"/>
  <c r="P62" i="18"/>
  <c r="S61" i="18"/>
  <c r="R61" i="18"/>
  <c r="Q61" i="18"/>
  <c r="P61" i="18"/>
  <c r="S60" i="18"/>
  <c r="R60" i="18"/>
  <c r="Q60" i="18"/>
  <c r="P60" i="18"/>
  <c r="S59" i="18"/>
  <c r="R59" i="18"/>
  <c r="Q59" i="18"/>
  <c r="P59" i="18"/>
  <c r="S58" i="18"/>
  <c r="R58" i="18"/>
  <c r="Q58" i="18"/>
  <c r="P58" i="18"/>
  <c r="S57" i="18"/>
  <c r="R57" i="18"/>
  <c r="Q57" i="18"/>
  <c r="P57" i="18"/>
  <c r="S56" i="18"/>
  <c r="R56" i="18"/>
  <c r="Q56" i="18"/>
  <c r="P56" i="18"/>
  <c r="S55" i="18"/>
  <c r="R55" i="18"/>
  <c r="Q55" i="18"/>
  <c r="P55" i="18"/>
  <c r="S54" i="18"/>
  <c r="R54" i="18"/>
  <c r="Q54" i="18"/>
  <c r="P54" i="18"/>
  <c r="S53" i="18"/>
  <c r="R53" i="18"/>
  <c r="Q53" i="18"/>
  <c r="P53" i="18"/>
  <c r="S52" i="18"/>
  <c r="R52" i="18"/>
  <c r="Q52" i="18"/>
  <c r="P52" i="18"/>
  <c r="S51" i="18"/>
  <c r="R51" i="18"/>
  <c r="Q51" i="18"/>
  <c r="P51" i="18"/>
  <c r="S50" i="18"/>
  <c r="R50" i="18"/>
  <c r="Q50" i="18"/>
  <c r="P50" i="18"/>
  <c r="S49" i="18"/>
  <c r="R49" i="18"/>
  <c r="P49" i="18"/>
  <c r="Q49" i="18" s="1"/>
  <c r="S48" i="18"/>
  <c r="R48" i="18"/>
  <c r="P48" i="18"/>
  <c r="Q48" i="18" s="1"/>
  <c r="S47" i="18"/>
  <c r="R47" i="18"/>
  <c r="P47" i="18"/>
  <c r="Q47" i="18" s="1"/>
  <c r="S46" i="18"/>
  <c r="R46" i="18"/>
  <c r="P46" i="18"/>
  <c r="Q46" i="18" s="1"/>
  <c r="S45" i="18"/>
  <c r="R45" i="18"/>
  <c r="P45" i="18"/>
  <c r="Q45" i="18" s="1"/>
  <c r="S44" i="18"/>
  <c r="R44" i="18"/>
  <c r="P44" i="18"/>
  <c r="Q44" i="18" s="1"/>
  <c r="S43" i="18"/>
  <c r="R43" i="18"/>
  <c r="P43" i="18"/>
  <c r="Q43" i="18" s="1"/>
  <c r="S42" i="18"/>
  <c r="R42" i="18"/>
  <c r="P42" i="18"/>
  <c r="Q42" i="18" s="1"/>
  <c r="S41" i="18"/>
  <c r="R41" i="18"/>
  <c r="P41" i="18"/>
  <c r="Q41" i="18" s="1"/>
  <c r="S40" i="18"/>
  <c r="R40" i="18"/>
  <c r="P40" i="18"/>
  <c r="Q40" i="18" s="1"/>
  <c r="S39" i="18"/>
  <c r="R39" i="18"/>
  <c r="P39" i="18"/>
  <c r="Q39" i="18" s="1"/>
  <c r="S38" i="18"/>
  <c r="R38" i="18"/>
  <c r="P38" i="18"/>
  <c r="Q38" i="18" s="1"/>
  <c r="S37" i="18"/>
  <c r="R37" i="18"/>
  <c r="P37" i="18"/>
  <c r="Q37" i="18" s="1"/>
  <c r="S36" i="18"/>
  <c r="R36" i="18"/>
  <c r="P36" i="18"/>
  <c r="Q36" i="18" s="1"/>
  <c r="S35" i="18"/>
  <c r="R35" i="18"/>
  <c r="P35" i="18"/>
  <c r="Q35" i="18" s="1"/>
  <c r="S34" i="18"/>
  <c r="R34" i="18"/>
  <c r="P34" i="18"/>
  <c r="Q34" i="18" s="1"/>
  <c r="S33" i="18"/>
  <c r="R33" i="18"/>
  <c r="P33" i="18"/>
  <c r="Q33" i="18" s="1"/>
  <c r="S32" i="18"/>
  <c r="R32" i="18"/>
  <c r="Q32" i="18"/>
  <c r="P32" i="18"/>
  <c r="S31" i="18"/>
  <c r="R31" i="18"/>
  <c r="Q31" i="18"/>
  <c r="P31" i="18"/>
  <c r="S30" i="18"/>
  <c r="R30" i="18"/>
  <c r="P30" i="18"/>
  <c r="Q30" i="18" s="1"/>
  <c r="S29" i="18"/>
  <c r="R29" i="18"/>
  <c r="P29" i="18"/>
  <c r="Q29" i="18" s="1"/>
  <c r="S28" i="18"/>
  <c r="R28" i="18"/>
  <c r="P28" i="18"/>
  <c r="Q28" i="18" s="1"/>
  <c r="S27" i="18"/>
  <c r="R27" i="18"/>
  <c r="P27" i="18"/>
  <c r="Q27" i="18" s="1"/>
  <c r="S26" i="18"/>
  <c r="R26" i="18"/>
  <c r="P26" i="18"/>
  <c r="Q26" i="18" s="1"/>
  <c r="S25" i="18"/>
  <c r="R25" i="18"/>
  <c r="P25" i="18"/>
  <c r="Q25" i="18" s="1"/>
  <c r="S24" i="18"/>
  <c r="R24" i="18"/>
  <c r="P24" i="18"/>
  <c r="Q24" i="18" s="1"/>
  <c r="S23" i="18"/>
  <c r="R23" i="18"/>
  <c r="P23" i="18"/>
  <c r="Q23" i="18" s="1"/>
  <c r="S22" i="18"/>
  <c r="R22" i="18"/>
  <c r="P22" i="18"/>
  <c r="Q22" i="18" s="1"/>
  <c r="S21" i="18"/>
  <c r="R21" i="18"/>
  <c r="P21" i="18"/>
  <c r="Q21" i="18" s="1"/>
  <c r="S20" i="18"/>
  <c r="R20" i="18"/>
  <c r="P20" i="18"/>
  <c r="Q20" i="18" s="1"/>
  <c r="S19" i="18"/>
  <c r="R19" i="18"/>
  <c r="P19" i="18"/>
  <c r="Q19" i="18" s="1"/>
  <c r="S18" i="18"/>
  <c r="R18" i="18"/>
  <c r="P18" i="18"/>
  <c r="Q18" i="18" s="1"/>
  <c r="S17" i="18"/>
  <c r="R17" i="18"/>
  <c r="P17" i="18"/>
  <c r="Q17" i="18" s="1"/>
  <c r="S16" i="18"/>
  <c r="R16" i="18"/>
  <c r="P16" i="18"/>
  <c r="Q16" i="18" s="1"/>
  <c r="S15" i="18"/>
  <c r="R15" i="18"/>
  <c r="Q15" i="18"/>
  <c r="P15" i="18"/>
  <c r="S14" i="18"/>
  <c r="R14" i="18"/>
  <c r="P14" i="18"/>
  <c r="Q14" i="18" s="1"/>
  <c r="S13" i="18"/>
  <c r="R13" i="18"/>
  <c r="P13" i="18"/>
  <c r="Q13" i="18" s="1"/>
  <c r="S12" i="18"/>
  <c r="R12" i="18"/>
  <c r="P12" i="18"/>
  <c r="Q12" i="18" s="1"/>
  <c r="S11" i="18"/>
  <c r="R11" i="18"/>
  <c r="P11" i="18"/>
  <c r="Q11" i="18" s="1"/>
  <c r="S10" i="18"/>
  <c r="R10" i="18"/>
  <c r="P10" i="18"/>
  <c r="Q10" i="18" s="1"/>
  <c r="S9" i="18"/>
  <c r="R9" i="18"/>
  <c r="Q9" i="18"/>
  <c r="P9" i="18"/>
  <c r="S8" i="18"/>
  <c r="R8" i="18"/>
  <c r="P8" i="18"/>
  <c r="Q8" i="18" s="1"/>
  <c r="S7" i="18"/>
  <c r="R7" i="18"/>
  <c r="P7" i="18"/>
  <c r="Q7" i="18" s="1"/>
  <c r="S6" i="18"/>
  <c r="R6" i="18"/>
  <c r="P6" i="18"/>
  <c r="Q6" i="18" s="1"/>
  <c r="S5" i="18"/>
  <c r="R5" i="18"/>
  <c r="P5" i="18"/>
  <c r="Q5" i="18" s="1"/>
  <c r="S4" i="18"/>
  <c r="R4" i="18"/>
  <c r="P4" i="18"/>
  <c r="Q4" i="18" s="1"/>
  <c r="BB26" i="13" l="1"/>
  <c r="BB26" i="14"/>
  <c r="BB26" i="15"/>
  <c r="BB26" i="1"/>
  <c r="AX26" i="13"/>
  <c r="AY26" i="13"/>
  <c r="AZ26" i="13"/>
  <c r="BA26" i="13"/>
  <c r="BC26" i="13"/>
  <c r="BD26" i="13"/>
  <c r="BE26" i="13"/>
  <c r="BF26" i="13"/>
  <c r="BG26" i="13"/>
  <c r="BH26" i="13"/>
  <c r="AX26" i="14"/>
  <c r="AY26" i="14"/>
  <c r="AZ26" i="14"/>
  <c r="BA26" i="14"/>
  <c r="BC26" i="14"/>
  <c r="BD26" i="14"/>
  <c r="BE26" i="14"/>
  <c r="BF26" i="14"/>
  <c r="BG26" i="14"/>
  <c r="BH26" i="14"/>
  <c r="AX26" i="15"/>
  <c r="AY26" i="15"/>
  <c r="AZ26" i="15"/>
  <c r="BA26" i="15"/>
  <c r="BC26" i="15"/>
  <c r="BD26" i="15"/>
  <c r="BE26" i="15"/>
  <c r="BF26" i="15"/>
  <c r="BG26" i="15"/>
  <c r="BH26" i="15"/>
  <c r="AX26" i="1"/>
  <c r="AY26" i="1"/>
  <c r="AZ26" i="1"/>
  <c r="BA26" i="1"/>
  <c r="BC26" i="1"/>
  <c r="BD26" i="1"/>
  <c r="BE26" i="1"/>
  <c r="BF26" i="1"/>
  <c r="BG26" i="1"/>
  <c r="BH26" i="1"/>
  <c r="AW26" i="13"/>
  <c r="AW26" i="14"/>
  <c r="AW26" i="15"/>
  <c r="AW26" i="1"/>
  <c r="B34" i="19" l="1"/>
  <c r="E34" i="19" s="1"/>
  <c r="C7" i="16"/>
  <c r="D27" i="16"/>
  <c r="D17" i="16"/>
  <c r="C27" i="16"/>
  <c r="C17" i="16"/>
  <c r="D7" i="16"/>
  <c r="AH90" i="13"/>
  <c r="AH91" i="13"/>
  <c r="AH92" i="13"/>
  <c r="AH93" i="13"/>
  <c r="AH94" i="13"/>
  <c r="AH95" i="13"/>
  <c r="AH96" i="13"/>
  <c r="AH97" i="13"/>
  <c r="AH98" i="13"/>
  <c r="AH99" i="13"/>
  <c r="AH90" i="14"/>
  <c r="AH91" i="14"/>
  <c r="AH92" i="14"/>
  <c r="AH93" i="14"/>
  <c r="AH94" i="14"/>
  <c r="AH95" i="14"/>
  <c r="AH96" i="14"/>
  <c r="AH97" i="14"/>
  <c r="AH98" i="14"/>
  <c r="AH99" i="14"/>
  <c r="AH90" i="15"/>
  <c r="AH91" i="15"/>
  <c r="AH92" i="15"/>
  <c r="AH93" i="15"/>
  <c r="AH94" i="15"/>
  <c r="AH95" i="15"/>
  <c r="AH96" i="15"/>
  <c r="AH97" i="15"/>
  <c r="AH98" i="15"/>
  <c r="AH99" i="15"/>
  <c r="AH90" i="1"/>
  <c r="AH91" i="1"/>
  <c r="AH92" i="1"/>
  <c r="AH93" i="1"/>
  <c r="AH94" i="1"/>
  <c r="AH95" i="1"/>
  <c r="AH96" i="1"/>
  <c r="AH97" i="1"/>
  <c r="AH98" i="1"/>
  <c r="AH99" i="1"/>
  <c r="T5" i="17" l="1"/>
  <c r="L2" i="17"/>
  <c r="L5" i="17"/>
  <c r="AG9" i="13" l="1"/>
  <c r="K21" i="1" l="1"/>
  <c r="AH9" i="13"/>
  <c r="AH9" i="14" s="1"/>
  <c r="AH9" i="15" s="1"/>
  <c r="AG9" i="14"/>
  <c r="AG9" i="15" s="1"/>
  <c r="P11" i="1"/>
  <c r="S10" i="1"/>
  <c r="Q10" i="1"/>
  <c r="Y11" i="1"/>
  <c r="AB10" i="1"/>
  <c r="Z10" i="1"/>
  <c r="J9" i="13"/>
  <c r="J9" i="14" s="1"/>
  <c r="J9" i="15" s="1"/>
  <c r="H9" i="13"/>
  <c r="H9" i="14" s="1"/>
  <c r="H9" i="15" s="1"/>
  <c r="Z10" i="13" l="1"/>
  <c r="AB10" i="13"/>
  <c r="AB10" i="14" s="1"/>
  <c r="AB10" i="15" s="1"/>
  <c r="Y11" i="13"/>
  <c r="Q10" i="13"/>
  <c r="Q10" i="14" s="1"/>
  <c r="Q10" i="15" s="1"/>
  <c r="S10" i="13"/>
  <c r="S10" i="14" s="1"/>
  <c r="S10" i="15" s="1"/>
  <c r="P11" i="13"/>
  <c r="P11" i="14" s="1"/>
  <c r="P11" i="15" s="1"/>
  <c r="E5" i="17" s="1"/>
  <c r="E28" i="13"/>
  <c r="AI76" i="13" s="1"/>
  <c r="D5" i="17" l="1"/>
  <c r="Z10" i="14"/>
  <c r="Z10" i="15" s="1"/>
  <c r="F5" i="17" s="1"/>
  <c r="Y11" i="14"/>
  <c r="Y11" i="15" s="1"/>
  <c r="G5" i="17" s="1"/>
  <c r="A16" i="1"/>
  <c r="E28" i="14"/>
  <c r="E28" i="15" s="1"/>
  <c r="AI76" i="15" l="1"/>
  <c r="AI76" i="14"/>
  <c r="A1" i="1"/>
  <c r="C12" i="8"/>
  <c r="N13" i="5"/>
  <c r="J52" i="13"/>
  <c r="AA30" i="5"/>
  <c r="Z30" i="5"/>
  <c r="Y30" i="5"/>
  <c r="Y27" i="5" l="1"/>
  <c r="B17" i="5" l="1"/>
  <c r="B13" i="5"/>
  <c r="B12" i="5"/>
  <c r="C13" i="8"/>
  <c r="R31" i="11" l="1"/>
  <c r="W28" i="1"/>
  <c r="AI28" i="1" s="1"/>
  <c r="W26" i="1"/>
  <c r="AI26" i="1" s="1"/>
  <c r="W27" i="1"/>
  <c r="W23" i="1"/>
  <c r="W24" i="1"/>
  <c r="AJ4" i="1"/>
  <c r="AJ6" i="1" s="1"/>
  <c r="AH104" i="15" l="1"/>
  <c r="AL103" i="15"/>
  <c r="AL102" i="15"/>
  <c r="E99" i="15"/>
  <c r="E98" i="15"/>
  <c r="E97" i="15"/>
  <c r="AL87" i="15"/>
  <c r="E96" i="15"/>
  <c r="AL86" i="15"/>
  <c r="E95" i="15"/>
  <c r="E94" i="15"/>
  <c r="E93" i="15"/>
  <c r="E92" i="15"/>
  <c r="E91" i="15"/>
  <c r="E90" i="15"/>
  <c r="AH89" i="15"/>
  <c r="E89" i="15"/>
  <c r="AH88" i="15"/>
  <c r="E88" i="15"/>
  <c r="AH87" i="15"/>
  <c r="E87" i="15"/>
  <c r="AH86" i="15"/>
  <c r="E86" i="15"/>
  <c r="AH85" i="15"/>
  <c r="E85" i="15"/>
  <c r="AZ77" i="15"/>
  <c r="AX77" i="15"/>
  <c r="AV77" i="15"/>
  <c r="AU69" i="15"/>
  <c r="CF28" i="15"/>
  <c r="BH28" i="15"/>
  <c r="BG28" i="15"/>
  <c r="BF28" i="15"/>
  <c r="BE28" i="15"/>
  <c r="BD28" i="15"/>
  <c r="BC28" i="15"/>
  <c r="BB28" i="15"/>
  <c r="BA28" i="15"/>
  <c r="AZ28" i="15"/>
  <c r="AY28" i="15"/>
  <c r="AX28" i="15"/>
  <c r="AW28" i="15"/>
  <c r="AG28" i="15"/>
  <c r="W28" i="15"/>
  <c r="AI28" i="15" s="1"/>
  <c r="CF24" i="15"/>
  <c r="BH24" i="15"/>
  <c r="BG24" i="15"/>
  <c r="BF24" i="15"/>
  <c r="BE24" i="15"/>
  <c r="BD24" i="15"/>
  <c r="BC24" i="15"/>
  <c r="BB24" i="15"/>
  <c r="BA24" i="15"/>
  <c r="AZ24" i="15"/>
  <c r="AY24" i="15"/>
  <c r="AX24" i="15"/>
  <c r="AW24" i="15"/>
  <c r="W24" i="15"/>
  <c r="AI24" i="15" s="1"/>
  <c r="E24" i="15"/>
  <c r="A25" i="16" s="1"/>
  <c r="CF23" i="15"/>
  <c r="BH23" i="15"/>
  <c r="BG23" i="15"/>
  <c r="BF23" i="15"/>
  <c r="BE23" i="15"/>
  <c r="BD23" i="15"/>
  <c r="BC23" i="15"/>
  <c r="BB23" i="15"/>
  <c r="BA23" i="15"/>
  <c r="AZ23" i="15"/>
  <c r="AY23" i="15"/>
  <c r="AX23" i="15"/>
  <c r="AW23" i="15"/>
  <c r="W23" i="15"/>
  <c r="E23" i="15"/>
  <c r="A24" i="16" s="1"/>
  <c r="CF27" i="15"/>
  <c r="BH27" i="15"/>
  <c r="BG27" i="15"/>
  <c r="BF27" i="15"/>
  <c r="BE27" i="15"/>
  <c r="BD27" i="15"/>
  <c r="BC27" i="15"/>
  <c r="BB27" i="15"/>
  <c r="BA27" i="15"/>
  <c r="AZ27" i="15"/>
  <c r="AY27" i="15"/>
  <c r="AX27" i="15"/>
  <c r="AW27" i="15"/>
  <c r="W27" i="15"/>
  <c r="AI27" i="15" s="1"/>
  <c r="CF25" i="15"/>
  <c r="BH25" i="15"/>
  <c r="BG25" i="15"/>
  <c r="BF25" i="15"/>
  <c r="BE25" i="15"/>
  <c r="BD25" i="15"/>
  <c r="BC25" i="15"/>
  <c r="BB25" i="15"/>
  <c r="BA25" i="15"/>
  <c r="AZ25" i="15"/>
  <c r="AY25" i="15"/>
  <c r="AX25" i="15"/>
  <c r="AW25" i="15"/>
  <c r="AR25" i="15"/>
  <c r="W25" i="15"/>
  <c r="E25" i="15"/>
  <c r="A26" i="16" s="1"/>
  <c r="CF26" i="15"/>
  <c r="AO26" i="15"/>
  <c r="W26" i="15"/>
  <c r="AI26" i="15" s="1"/>
  <c r="E26" i="15"/>
  <c r="A27" i="16" s="1"/>
  <c r="AJ4" i="15"/>
  <c r="AJ6" i="15" s="1"/>
  <c r="W25" i="14"/>
  <c r="W27" i="14"/>
  <c r="W23" i="14"/>
  <c r="W24" i="14"/>
  <c r="AX72" i="15" l="1"/>
  <c r="BA72" i="15"/>
  <c r="BC72" i="15"/>
  <c r="BE72" i="15"/>
  <c r="BG72" i="15"/>
  <c r="AW72" i="15"/>
  <c r="AY72" i="15"/>
  <c r="AZ72" i="15"/>
  <c r="BB72" i="15"/>
  <c r="BD72" i="15"/>
  <c r="BF72" i="15"/>
  <c r="BH72" i="15"/>
  <c r="D28" i="16"/>
  <c r="D24" i="16"/>
  <c r="D25" i="16"/>
  <c r="D26" i="16"/>
  <c r="AU81" i="15"/>
  <c r="AI74" i="15"/>
  <c r="AU24" i="15"/>
  <c r="AU79" i="15"/>
  <c r="AI72" i="15"/>
  <c r="AU80" i="15"/>
  <c r="AI73" i="15"/>
  <c r="AU23" i="15"/>
  <c r="BD74" i="15" s="1"/>
  <c r="AU78" i="15"/>
  <c r="AI71" i="15"/>
  <c r="AI23" i="15"/>
  <c r="BR26" i="15"/>
  <c r="AU26" i="15"/>
  <c r="BR25" i="15"/>
  <c r="AU25" i="15"/>
  <c r="X26" i="15"/>
  <c r="BK26" i="15" s="1"/>
  <c r="BB81" i="15" s="1"/>
  <c r="BR27" i="15"/>
  <c r="BR23" i="15"/>
  <c r="AI25" i="15"/>
  <c r="BR24" i="15"/>
  <c r="AV74" i="15" l="1"/>
  <c r="AZ73" i="15"/>
  <c r="BF73" i="15"/>
  <c r="BG73" i="15"/>
  <c r="AW73" i="15"/>
  <c r="AY74" i="15"/>
  <c r="AX74" i="15"/>
  <c r="BG74" i="15"/>
  <c r="AX73" i="15"/>
  <c r="BB74" i="15"/>
  <c r="BH73" i="15"/>
  <c r="BH74" i="15"/>
  <c r="BE73" i="15"/>
  <c r="BC73" i="15"/>
  <c r="BD73" i="15"/>
  <c r="AY73" i="15"/>
  <c r="BE74" i="15"/>
  <c r="BF74" i="15"/>
  <c r="AZ74" i="15"/>
  <c r="BA74" i="15"/>
  <c r="BB73" i="15"/>
  <c r="BA73" i="15"/>
  <c r="BC74" i="15"/>
  <c r="AW74" i="15"/>
  <c r="AL103" i="14"/>
  <c r="AH103" i="14"/>
  <c r="E103" i="15" s="1"/>
  <c r="AH103" i="15" s="1"/>
  <c r="AL102" i="14"/>
  <c r="E99" i="14"/>
  <c r="E98" i="14"/>
  <c r="E97" i="14"/>
  <c r="AL87" i="14"/>
  <c r="E96" i="14"/>
  <c r="AL86" i="14"/>
  <c r="E95" i="14"/>
  <c r="E94" i="14"/>
  <c r="E93" i="14"/>
  <c r="E92" i="14"/>
  <c r="E91" i="14"/>
  <c r="E90" i="14"/>
  <c r="AH89" i="14"/>
  <c r="E89" i="14"/>
  <c r="AH88" i="14"/>
  <c r="E88" i="14"/>
  <c r="AH87" i="14"/>
  <c r="E87" i="14"/>
  <c r="AH86" i="14"/>
  <c r="E86" i="14"/>
  <c r="AH85" i="14"/>
  <c r="E85" i="14"/>
  <c r="AZ77" i="14"/>
  <c r="AX77" i="14"/>
  <c r="AV77" i="14"/>
  <c r="AU69" i="14"/>
  <c r="CF28" i="14"/>
  <c r="BH28" i="14"/>
  <c r="BG28" i="14"/>
  <c r="BF28" i="14"/>
  <c r="BE28" i="14"/>
  <c r="BD28" i="14"/>
  <c r="BC28" i="14"/>
  <c r="BB28" i="14"/>
  <c r="BA28" i="14"/>
  <c r="AZ28" i="14"/>
  <c r="AY28" i="14"/>
  <c r="AX28" i="14"/>
  <c r="AW28" i="14"/>
  <c r="AG28" i="14"/>
  <c r="W28" i="14"/>
  <c r="AI28" i="14" s="1"/>
  <c r="CF24" i="14"/>
  <c r="BH24" i="14"/>
  <c r="BG24" i="14"/>
  <c r="BF24" i="14"/>
  <c r="BE24" i="14"/>
  <c r="BD24" i="14"/>
  <c r="BC24" i="14"/>
  <c r="BB24" i="14"/>
  <c r="BA24" i="14"/>
  <c r="AZ24" i="14"/>
  <c r="AY24" i="14"/>
  <c r="AX24" i="14"/>
  <c r="AW24" i="14"/>
  <c r="AI24" i="14"/>
  <c r="E24" i="14"/>
  <c r="A15" i="16" s="1"/>
  <c r="CF23" i="14"/>
  <c r="BH23" i="14"/>
  <c r="BG23" i="14"/>
  <c r="BF23" i="14"/>
  <c r="BE23" i="14"/>
  <c r="BD23" i="14"/>
  <c r="BC23" i="14"/>
  <c r="BB23" i="14"/>
  <c r="BA23" i="14"/>
  <c r="AZ23" i="14"/>
  <c r="AY23" i="14"/>
  <c r="AX23" i="14"/>
  <c r="AW23" i="14"/>
  <c r="AI23" i="14"/>
  <c r="E23" i="14"/>
  <c r="A14" i="16" s="1"/>
  <c r="CF27" i="14"/>
  <c r="BH27" i="14"/>
  <c r="BG27" i="14"/>
  <c r="BF27" i="14"/>
  <c r="BE27" i="14"/>
  <c r="BD27" i="14"/>
  <c r="BC27" i="14"/>
  <c r="BB27" i="14"/>
  <c r="BA27" i="14"/>
  <c r="AZ27" i="14"/>
  <c r="AY27" i="14"/>
  <c r="AX27" i="14"/>
  <c r="AW27" i="14"/>
  <c r="BR27" i="14"/>
  <c r="CF25" i="14"/>
  <c r="BH25" i="14"/>
  <c r="BG25" i="14"/>
  <c r="BF25" i="14"/>
  <c r="BE25" i="14"/>
  <c r="BD25" i="14"/>
  <c r="BC25" i="14"/>
  <c r="BB25" i="14"/>
  <c r="BA25" i="14"/>
  <c r="AZ25" i="14"/>
  <c r="AY25" i="14"/>
  <c r="AX25" i="14"/>
  <c r="AW25" i="14"/>
  <c r="AR25" i="14"/>
  <c r="AI25" i="14" s="1"/>
  <c r="E25" i="14"/>
  <c r="A16" i="16" s="1"/>
  <c r="CF26" i="14"/>
  <c r="AO26" i="14"/>
  <c r="W26" i="14"/>
  <c r="E26" i="14"/>
  <c r="A17" i="16" s="1"/>
  <c r="AJ4" i="14"/>
  <c r="AJ6" i="14" s="1"/>
  <c r="AH102" i="13"/>
  <c r="W25" i="13"/>
  <c r="W27" i="13"/>
  <c r="AI27" i="13" s="1"/>
  <c r="W23" i="13"/>
  <c r="W24" i="13"/>
  <c r="AI24" i="13" s="1"/>
  <c r="W28" i="13"/>
  <c r="Y14" i="13"/>
  <c r="Y14" i="14" s="1"/>
  <c r="Y14" i="15" s="1"/>
  <c r="J5" i="17" s="1"/>
  <c r="Y13" i="13"/>
  <c r="Y13" i="14" s="1"/>
  <c r="Y13" i="15" s="1"/>
  <c r="K5" i="17" s="1"/>
  <c r="Y12" i="13"/>
  <c r="Y12" i="14" s="1"/>
  <c r="Y12" i="15" s="1"/>
  <c r="I5" i="17" s="1"/>
  <c r="Y8" i="13"/>
  <c r="Y8" i="14" s="1"/>
  <c r="Y8" i="15" s="1"/>
  <c r="H5" i="17" s="1"/>
  <c r="P12" i="13"/>
  <c r="P12" i="14" s="1"/>
  <c r="P12" i="15" s="1"/>
  <c r="AJ4" i="13"/>
  <c r="AJ6" i="13" s="1"/>
  <c r="AJ5" i="1"/>
  <c r="P8" i="13"/>
  <c r="F10" i="13"/>
  <c r="F10" i="14" s="1"/>
  <c r="F10" i="15" s="1"/>
  <c r="F8" i="5" s="1"/>
  <c r="F11" i="13"/>
  <c r="F11" i="14" s="1"/>
  <c r="F11" i="15" s="1"/>
  <c r="F8" i="13"/>
  <c r="AL103" i="13"/>
  <c r="AL102" i="13"/>
  <c r="E99" i="13"/>
  <c r="E98" i="13"/>
  <c r="E97" i="13"/>
  <c r="AL87" i="13"/>
  <c r="E96" i="13"/>
  <c r="AL86" i="13"/>
  <c r="E95" i="13"/>
  <c r="E94" i="13"/>
  <c r="E93" i="13"/>
  <c r="E92" i="13"/>
  <c r="E91" i="13"/>
  <c r="E90" i="13"/>
  <c r="AH89" i="13"/>
  <c r="E89" i="13"/>
  <c r="AH88" i="13"/>
  <c r="E88" i="13"/>
  <c r="AH87" i="13"/>
  <c r="E87" i="13"/>
  <c r="AH86" i="13"/>
  <c r="E86" i="13"/>
  <c r="AH85" i="13"/>
  <c r="E85" i="13"/>
  <c r="AZ77" i="13"/>
  <c r="AX77" i="13"/>
  <c r="AV77" i="13"/>
  <c r="AU69" i="13"/>
  <c r="CF28" i="13"/>
  <c r="BH28" i="13"/>
  <c r="BG28" i="13"/>
  <c r="BF28" i="13"/>
  <c r="BE28" i="13"/>
  <c r="BD28" i="13"/>
  <c r="BC28" i="13"/>
  <c r="BB28" i="13"/>
  <c r="BA28" i="13"/>
  <c r="AZ28" i="13"/>
  <c r="AY28" i="13"/>
  <c r="AX28" i="13"/>
  <c r="AW28" i="13"/>
  <c r="CF24" i="13"/>
  <c r="BH24" i="13"/>
  <c r="BG24" i="13"/>
  <c r="BF24" i="13"/>
  <c r="BE24" i="13"/>
  <c r="BD24" i="13"/>
  <c r="BC24" i="13"/>
  <c r="BB24" i="13"/>
  <c r="BA24" i="13"/>
  <c r="AZ24" i="13"/>
  <c r="AY24" i="13"/>
  <c r="AX24" i="13"/>
  <c r="AW24" i="13"/>
  <c r="E24" i="13"/>
  <c r="A5" i="16" s="1"/>
  <c r="CF23" i="13"/>
  <c r="BH23" i="13"/>
  <c r="BG23" i="13"/>
  <c r="BF23" i="13"/>
  <c r="BE23" i="13"/>
  <c r="BD23" i="13"/>
  <c r="BC23" i="13"/>
  <c r="BB23" i="13"/>
  <c r="BA23" i="13"/>
  <c r="AZ23" i="13"/>
  <c r="AY23" i="13"/>
  <c r="AX23" i="13"/>
  <c r="AW23" i="13"/>
  <c r="E23" i="13"/>
  <c r="A4" i="16" s="1"/>
  <c r="CF27" i="13"/>
  <c r="BH27" i="13"/>
  <c r="BG27" i="13"/>
  <c r="BF27" i="13"/>
  <c r="BE27" i="13"/>
  <c r="BD27" i="13"/>
  <c r="BC27" i="13"/>
  <c r="BB27" i="13"/>
  <c r="BA27" i="13"/>
  <c r="AZ27" i="13"/>
  <c r="AY27" i="13"/>
  <c r="AX27" i="13"/>
  <c r="AW27" i="13"/>
  <c r="CF25" i="13"/>
  <c r="BH25" i="13"/>
  <c r="BG25" i="13"/>
  <c r="BF25" i="13"/>
  <c r="BE25" i="13"/>
  <c r="BD25" i="13"/>
  <c r="BC25" i="13"/>
  <c r="BB25" i="13"/>
  <c r="BA25" i="13"/>
  <c r="AZ25" i="13"/>
  <c r="AY25" i="13"/>
  <c r="AX25" i="13"/>
  <c r="AW25" i="13"/>
  <c r="AR25" i="13"/>
  <c r="E25" i="13"/>
  <c r="A6" i="16" s="1"/>
  <c r="CF26" i="13"/>
  <c r="AO26" i="13"/>
  <c r="W26" i="13"/>
  <c r="AI26" i="13" s="1"/>
  <c r="E26" i="13"/>
  <c r="A7" i="16" s="1"/>
  <c r="C15" i="16" l="1"/>
  <c r="D5" i="16"/>
  <c r="C28" i="16"/>
  <c r="D18" i="16"/>
  <c r="D14" i="16"/>
  <c r="C24" i="16"/>
  <c r="C25" i="16"/>
  <c r="D15" i="16"/>
  <c r="C16" i="16"/>
  <c r="D6" i="16"/>
  <c r="D8" i="16"/>
  <c r="C18" i="16"/>
  <c r="D4" i="16"/>
  <c r="C14" i="16"/>
  <c r="D16" i="16"/>
  <c r="C26" i="16"/>
  <c r="AU23" i="13"/>
  <c r="AU78" i="13"/>
  <c r="AI71" i="13"/>
  <c r="AU81" i="13"/>
  <c r="AI74" i="13"/>
  <c r="AU24" i="13"/>
  <c r="AU79" i="13"/>
  <c r="AI72" i="13"/>
  <c r="AU25" i="14"/>
  <c r="AU80" i="14"/>
  <c r="AI73" i="14"/>
  <c r="AU23" i="14"/>
  <c r="BG73" i="14" s="1"/>
  <c r="AU78" i="14"/>
  <c r="AI71" i="14"/>
  <c r="AU81" i="14"/>
  <c r="AI74" i="14"/>
  <c r="AU79" i="14"/>
  <c r="AI72" i="14"/>
  <c r="AU25" i="13"/>
  <c r="AU80" i="13"/>
  <c r="AI73" i="13"/>
  <c r="BR26" i="13"/>
  <c r="AU26" i="13"/>
  <c r="AI23" i="13"/>
  <c r="BR26" i="14"/>
  <c r="AU26" i="14"/>
  <c r="AI26" i="14"/>
  <c r="X26" i="14" s="1"/>
  <c r="BK26" i="14" s="1"/>
  <c r="BR24" i="14"/>
  <c r="AU24" i="14"/>
  <c r="X26" i="13"/>
  <c r="BK26" i="13" s="1"/>
  <c r="F9" i="5"/>
  <c r="C5" i="17"/>
  <c r="F8" i="14"/>
  <c r="F8" i="15" s="1"/>
  <c r="P8" i="14"/>
  <c r="P8" i="15" s="1"/>
  <c r="BR23" i="14"/>
  <c r="AE1" i="1"/>
  <c r="AS87" i="13"/>
  <c r="E102" i="14"/>
  <c r="AI27" i="14"/>
  <c r="BR25" i="14"/>
  <c r="AI25" i="13"/>
  <c r="BR23" i="13"/>
  <c r="AR87" i="13"/>
  <c r="AG28" i="13"/>
  <c r="AI28" i="13"/>
  <c r="BR24" i="13"/>
  <c r="BR27" i="13"/>
  <c r="BR25" i="13"/>
  <c r="AG28" i="1"/>
  <c r="AW71" i="14" l="1"/>
  <c r="AY72" i="14"/>
  <c r="AZ72" i="14"/>
  <c r="BA72" i="14"/>
  <c r="BB72" i="14"/>
  <c r="BC72" i="14"/>
  <c r="BD72" i="14"/>
  <c r="BE72" i="14"/>
  <c r="BF72" i="14"/>
  <c r="BG72" i="14"/>
  <c r="BH72" i="14"/>
  <c r="AW72" i="14"/>
  <c r="AX72" i="14"/>
  <c r="BA74" i="13"/>
  <c r="BD74" i="13"/>
  <c r="AZ74" i="13"/>
  <c r="BB73" i="13"/>
  <c r="BA73" i="13"/>
  <c r="BC74" i="13"/>
  <c r="AY74" i="13"/>
  <c r="AV74" i="13"/>
  <c r="AX74" i="13"/>
  <c r="BE73" i="13"/>
  <c r="BG74" i="13"/>
  <c r="AV72" i="14"/>
  <c r="BF74" i="13"/>
  <c r="BG71" i="14"/>
  <c r="BC73" i="13"/>
  <c r="BE71" i="14"/>
  <c r="AZ73" i="13"/>
  <c r="BB74" i="13"/>
  <c r="BF71" i="14"/>
  <c r="BG73" i="13"/>
  <c r="AZ71" i="14"/>
  <c r="AW74" i="13"/>
  <c r="BF73" i="13"/>
  <c r="AY73" i="13"/>
  <c r="AY71" i="14"/>
  <c r="BH74" i="13"/>
  <c r="AX73" i="13"/>
  <c r="BB71" i="14"/>
  <c r="BH71" i="14"/>
  <c r="BH73" i="14"/>
  <c r="BD73" i="13"/>
  <c r="AW73" i="13"/>
  <c r="BD71" i="14"/>
  <c r="BD73" i="14"/>
  <c r="BE74" i="13"/>
  <c r="BH73" i="13"/>
  <c r="BC71" i="14"/>
  <c r="BF74" i="14"/>
  <c r="AY73" i="14"/>
  <c r="BE74" i="14"/>
  <c r="BA73" i="14"/>
  <c r="BC74" i="14"/>
  <c r="BD74" i="14"/>
  <c r="AZ74" i="14"/>
  <c r="AY74" i="14"/>
  <c r="AX71" i="14"/>
  <c r="BG74" i="14"/>
  <c r="AV74" i="14"/>
  <c r="AX74" i="14"/>
  <c r="BB73" i="14"/>
  <c r="BA71" i="14"/>
  <c r="AZ73" i="14"/>
  <c r="AZ81" i="14"/>
  <c r="AZ81" i="15"/>
  <c r="BB74" i="14"/>
  <c r="BA74" i="14"/>
  <c r="BH71" i="15"/>
  <c r="BC71" i="15"/>
  <c r="AZ71" i="15"/>
  <c r="BD71" i="15"/>
  <c r="AX71" i="15"/>
  <c r="AY71" i="15"/>
  <c r="BB71" i="15"/>
  <c r="BE71" i="15"/>
  <c r="BA71" i="15"/>
  <c r="AW71" i="15"/>
  <c r="BF71" i="15"/>
  <c r="AV72" i="15"/>
  <c r="BG71" i="15"/>
  <c r="AW74" i="14"/>
  <c r="BF73" i="14"/>
  <c r="AW73" i="14"/>
  <c r="AX81" i="15"/>
  <c r="AX81" i="13"/>
  <c r="AX81" i="14"/>
  <c r="BC73" i="14"/>
  <c r="AX73" i="14"/>
  <c r="BE73" i="14"/>
  <c r="BH74" i="14"/>
  <c r="F6" i="5"/>
  <c r="A5" i="17"/>
  <c r="F7" i="5"/>
  <c r="B5" i="17"/>
  <c r="AP86" i="15"/>
  <c r="AU74" i="1"/>
  <c r="AU73" i="1"/>
  <c r="CF25" i="1"/>
  <c r="CF27" i="1"/>
  <c r="CF23" i="1"/>
  <c r="CF24" i="1"/>
  <c r="CF28" i="1"/>
  <c r="CF26" i="1"/>
  <c r="CC21" i="1"/>
  <c r="BT21" i="1"/>
  <c r="T21" i="1"/>
  <c r="J61" i="1"/>
  <c r="C61" i="1"/>
  <c r="AZ77" i="1"/>
  <c r="AX77" i="1"/>
  <c r="AV77" i="1"/>
  <c r="AP86" i="14" l="1"/>
  <c r="AQ86" i="15"/>
  <c r="AP86" i="13"/>
  <c r="AU69" i="1"/>
  <c r="AN86" i="15"/>
  <c r="AM86" i="15"/>
  <c r="AL103" i="1"/>
  <c r="AL102" i="1"/>
  <c r="AO86" i="15"/>
  <c r="AL87" i="1"/>
  <c r="AL86" i="1"/>
  <c r="AH102" i="1"/>
  <c r="AH103" i="1"/>
  <c r="AH104" i="1"/>
  <c r="AH105" i="1"/>
  <c r="AH101" i="1"/>
  <c r="AA94" i="13"/>
  <c r="AA95" i="13"/>
  <c r="AA96" i="13"/>
  <c r="AA97" i="13"/>
  <c r="AA98" i="13"/>
  <c r="AH86" i="1"/>
  <c r="AA86" i="13" s="1"/>
  <c r="AH87" i="1"/>
  <c r="AA87" i="13" s="1"/>
  <c r="AH88" i="1"/>
  <c r="AA88" i="13" s="1"/>
  <c r="AH89" i="1"/>
  <c r="AA89" i="13" s="1"/>
  <c r="AA90" i="13"/>
  <c r="AA91" i="13"/>
  <c r="AH85" i="1"/>
  <c r="AA85" i="13" s="1"/>
  <c r="AW25" i="1"/>
  <c r="AX25" i="1"/>
  <c r="AY25" i="1"/>
  <c r="AZ25" i="1"/>
  <c r="BA25" i="1"/>
  <c r="BB25" i="1"/>
  <c r="BC25" i="1"/>
  <c r="BD25" i="1"/>
  <c r="BE25" i="1"/>
  <c r="BF25" i="1"/>
  <c r="BG25" i="1"/>
  <c r="BH25" i="1"/>
  <c r="AW27" i="1"/>
  <c r="AX27" i="1"/>
  <c r="AY27" i="1"/>
  <c r="AZ27" i="1"/>
  <c r="BA27" i="1"/>
  <c r="BB27" i="1"/>
  <c r="BC27" i="1"/>
  <c r="BD27" i="1"/>
  <c r="BE27" i="1"/>
  <c r="BF27" i="1"/>
  <c r="BG27" i="1"/>
  <c r="BH27" i="1"/>
  <c r="AW23" i="1"/>
  <c r="AX23" i="1"/>
  <c r="AY23" i="1"/>
  <c r="AZ23" i="1"/>
  <c r="BA23" i="1"/>
  <c r="BB23" i="1"/>
  <c r="BC23" i="1"/>
  <c r="BD23" i="1"/>
  <c r="BE23" i="1"/>
  <c r="BF23" i="1"/>
  <c r="BG23" i="1"/>
  <c r="BH23" i="1"/>
  <c r="AW24" i="1"/>
  <c r="AX24" i="1"/>
  <c r="AY24" i="1"/>
  <c r="AZ24" i="1"/>
  <c r="BA24" i="1"/>
  <c r="BB24" i="1"/>
  <c r="BC24" i="1"/>
  <c r="BD24" i="1"/>
  <c r="BE24" i="1"/>
  <c r="BF24" i="1"/>
  <c r="BG24" i="1"/>
  <c r="BH24" i="1"/>
  <c r="AW28" i="1"/>
  <c r="AX28" i="1"/>
  <c r="AY28" i="1"/>
  <c r="AZ28" i="1"/>
  <c r="BA28" i="1"/>
  <c r="BB28" i="1"/>
  <c r="BC28" i="1"/>
  <c r="BD28" i="1"/>
  <c r="BE28" i="1"/>
  <c r="BF28" i="1"/>
  <c r="BG28" i="1"/>
  <c r="BH28" i="1"/>
  <c r="AA92" i="13"/>
  <c r="AA99" i="13"/>
  <c r="E99" i="1"/>
  <c r="E96" i="1"/>
  <c r="E97" i="1"/>
  <c r="E98" i="1"/>
  <c r="C8" i="16" l="1"/>
  <c r="C5" i="16"/>
  <c r="C4" i="16"/>
  <c r="C6" i="16"/>
  <c r="AA103" i="13"/>
  <c r="E103" i="13"/>
  <c r="AH103" i="13" s="1"/>
  <c r="E104" i="13"/>
  <c r="AH104" i="13" s="1"/>
  <c r="E104" i="14" s="1"/>
  <c r="AH104" i="14" s="1"/>
  <c r="AA104" i="13"/>
  <c r="AA105" i="13"/>
  <c r="E105" i="13"/>
  <c r="AH105" i="13" s="1"/>
  <c r="AR86" i="15"/>
  <c r="AS86" i="15"/>
  <c r="E101" i="13"/>
  <c r="AH101" i="13" s="1"/>
  <c r="AO86" i="14"/>
  <c r="AO86" i="13"/>
  <c r="AN86" i="14"/>
  <c r="AN86" i="13"/>
  <c r="AA93" i="13"/>
  <c r="AM86" i="13"/>
  <c r="AM86" i="14"/>
  <c r="AQ86" i="14"/>
  <c r="AQ86" i="13"/>
  <c r="AA101" i="13"/>
  <c r="AN102" i="1"/>
  <c r="AA102" i="13"/>
  <c r="AM102" i="1"/>
  <c r="AQ102" i="1"/>
  <c r="AS86" i="1"/>
  <c r="AR86" i="1"/>
  <c r="E86" i="1"/>
  <c r="E87" i="1"/>
  <c r="E88" i="1"/>
  <c r="E89" i="1"/>
  <c r="E90" i="1"/>
  <c r="E91" i="1"/>
  <c r="E92" i="1"/>
  <c r="E93" i="1"/>
  <c r="E94" i="1"/>
  <c r="E95" i="1"/>
  <c r="E85" i="1"/>
  <c r="E101" i="14" l="1"/>
  <c r="AH101" i="14" s="1"/>
  <c r="AR86" i="14"/>
  <c r="E105" i="14"/>
  <c r="AH105" i="14" s="1"/>
  <c r="E105" i="15" s="1"/>
  <c r="AH105" i="15" s="1"/>
  <c r="AN103" i="13"/>
  <c r="AQ102" i="15"/>
  <c r="AQ102" i="13"/>
  <c r="AQ102" i="14"/>
  <c r="AM102" i="15"/>
  <c r="AM102" i="13"/>
  <c r="AM102" i="14"/>
  <c r="AN102" i="15"/>
  <c r="AN102" i="13"/>
  <c r="AN102" i="14"/>
  <c r="AH102" i="14"/>
  <c r="E102" i="15" s="1"/>
  <c r="AH102" i="15" s="1"/>
  <c r="AS86" i="14"/>
  <c r="AS86" i="13"/>
  <c r="AR86" i="13"/>
  <c r="AQ103" i="13"/>
  <c r="AM103" i="13"/>
  <c r="AS102" i="1"/>
  <c r="AR102" i="1"/>
  <c r="Z61" i="1"/>
  <c r="S61" i="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4" i="1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4" i="11"/>
  <c r="Q5" i="11"/>
  <c r="Q6" i="11"/>
  <c r="Q7" i="11"/>
  <c r="Q8" i="11"/>
  <c r="Q9" i="11"/>
  <c r="Q10" i="11"/>
  <c r="Q11" i="11"/>
  <c r="Q12" i="11"/>
  <c r="Q13" i="11"/>
  <c r="Q14" i="11"/>
  <c r="Q15" i="11"/>
  <c r="Q16" i="11"/>
  <c r="Q18" i="11"/>
  <c r="Q19" i="11"/>
  <c r="Q20" i="11"/>
  <c r="Q21" i="11"/>
  <c r="Q22" i="11"/>
  <c r="Q23" i="11"/>
  <c r="Q24" i="11"/>
  <c r="Q25" i="11"/>
  <c r="Q26" i="11"/>
  <c r="Q27" i="11"/>
  <c r="Q28" i="11"/>
  <c r="Q29" i="11"/>
  <c r="Q30"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4" i="11"/>
  <c r="E26" i="1"/>
  <c r="AU26" i="1" l="1"/>
  <c r="AU81" i="1"/>
  <c r="AI74" i="1"/>
  <c r="AO24" i="15"/>
  <c r="X24" i="15" s="1"/>
  <c r="BK24" i="15" s="1"/>
  <c r="BB79" i="15" s="1"/>
  <c r="J23" i="15"/>
  <c r="AV23" i="15" s="1"/>
  <c r="B24" i="16" s="1"/>
  <c r="J24" i="15"/>
  <c r="AV24" i="15" s="1"/>
  <c r="B25" i="16" s="1"/>
  <c r="AL24" i="15"/>
  <c r="AK24" i="15"/>
  <c r="AM24" i="15" s="1"/>
  <c r="BI24" i="15" s="1"/>
  <c r="AL72" i="15" s="1"/>
  <c r="AJ23" i="15"/>
  <c r="AP23" i="15" s="1"/>
  <c r="AO23" i="15"/>
  <c r="X23" i="15" s="1"/>
  <c r="AJ24" i="15"/>
  <c r="AP24" i="15" s="1"/>
  <c r="AL23" i="15"/>
  <c r="AK23" i="15"/>
  <c r="AM23" i="15" s="1"/>
  <c r="BI23" i="15" s="1"/>
  <c r="AL71" i="15" s="1"/>
  <c r="AK23" i="13"/>
  <c r="AM23" i="13" s="1"/>
  <c r="BI23" i="13" s="1"/>
  <c r="AL71" i="13" s="1"/>
  <c r="J23" i="14"/>
  <c r="AV23" i="14" s="1"/>
  <c r="B14" i="16" s="1"/>
  <c r="AK24" i="13"/>
  <c r="AM24" i="13" s="1"/>
  <c r="BI24" i="13" s="1"/>
  <c r="AL72" i="13" s="1"/>
  <c r="AL24" i="13"/>
  <c r="AK23" i="14"/>
  <c r="AM23" i="14" s="1"/>
  <c r="BI23" i="14" s="1"/>
  <c r="AL71" i="14" s="1"/>
  <c r="AO24" i="13"/>
  <c r="X24" i="13" s="1"/>
  <c r="BK24" i="13" s="1"/>
  <c r="AL23" i="14"/>
  <c r="AJ24" i="14"/>
  <c r="AP24" i="14" s="1"/>
  <c r="AJ23" i="14"/>
  <c r="AP23" i="14" s="1"/>
  <c r="AL23" i="13"/>
  <c r="AJ24" i="13"/>
  <c r="AP24" i="13" s="1"/>
  <c r="J23" i="13"/>
  <c r="AV23" i="13" s="1"/>
  <c r="B4" i="16" s="1"/>
  <c r="J24" i="13"/>
  <c r="AV24" i="13" s="1"/>
  <c r="B5" i="16" s="1"/>
  <c r="AK24" i="14"/>
  <c r="AM24" i="14" s="1"/>
  <c r="BI24" i="14" s="1"/>
  <c r="AL72" i="14" s="1"/>
  <c r="AO23" i="13"/>
  <c r="X23" i="13" s="1"/>
  <c r="AL24" i="14"/>
  <c r="AJ23" i="13"/>
  <c r="AP23" i="13" s="1"/>
  <c r="J24" i="14"/>
  <c r="AV24" i="14" s="1"/>
  <c r="B15" i="16" s="1"/>
  <c r="AO24" i="14"/>
  <c r="X24" i="14" s="1"/>
  <c r="BK24" i="14" s="1"/>
  <c r="AO23" i="14"/>
  <c r="X23" i="14" s="1"/>
  <c r="AJ25" i="15"/>
  <c r="AP25" i="15" s="1"/>
  <c r="AO25" i="15"/>
  <c r="X25" i="15" s="1"/>
  <c r="BK25" i="15" s="1"/>
  <c r="BB80" i="15" s="1"/>
  <c r="AK25" i="15"/>
  <c r="AM25" i="15" s="1"/>
  <c r="BI25" i="15" s="1"/>
  <c r="AL73" i="15" s="1"/>
  <c r="J25" i="15"/>
  <c r="AV25" i="15" s="1"/>
  <c r="B26" i="16" s="1"/>
  <c r="AL25" i="15"/>
  <c r="AJ25" i="14"/>
  <c r="AP25" i="14" s="1"/>
  <c r="AJ25" i="13"/>
  <c r="AP25" i="13" s="1"/>
  <c r="J25" i="14"/>
  <c r="AV25" i="14" s="1"/>
  <c r="B16" i="16" s="1"/>
  <c r="J25" i="13"/>
  <c r="AV25" i="13" s="1"/>
  <c r="B6" i="16" s="1"/>
  <c r="AK25" i="14"/>
  <c r="AM25" i="14" s="1"/>
  <c r="BI25" i="14" s="1"/>
  <c r="AL73" i="14" s="1"/>
  <c r="AO25" i="14"/>
  <c r="X25" i="14" s="1"/>
  <c r="BK25" i="14" s="1"/>
  <c r="AO25" i="13"/>
  <c r="X25" i="13" s="1"/>
  <c r="BK25" i="13" s="1"/>
  <c r="AL25" i="14"/>
  <c r="AL25" i="13"/>
  <c r="AK25" i="13"/>
  <c r="AM25" i="13" s="1"/>
  <c r="BI25" i="13" s="1"/>
  <c r="AL73" i="13" s="1"/>
  <c r="BR26" i="1"/>
  <c r="AS102" i="15"/>
  <c r="AR102" i="15"/>
  <c r="AS102" i="14"/>
  <c r="AR102" i="14"/>
  <c r="E101" i="15"/>
  <c r="AH101" i="15" s="1"/>
  <c r="AS103" i="13"/>
  <c r="AR103" i="13"/>
  <c r="AS102" i="13"/>
  <c r="AR102" i="13"/>
  <c r="E24" i="1"/>
  <c r="E23" i="1"/>
  <c r="E25" i="1"/>
  <c r="P6" i="11"/>
  <c r="P7" i="11"/>
  <c r="P4" i="11"/>
  <c r="P5" i="11"/>
  <c r="P18" i="11"/>
  <c r="P19" i="11"/>
  <c r="P20" i="11"/>
  <c r="P21" i="11"/>
  <c r="P22" i="11"/>
  <c r="P23" i="11"/>
  <c r="P24" i="11"/>
  <c r="P25" i="11"/>
  <c r="P26" i="11"/>
  <c r="P27" i="11"/>
  <c r="P28" i="11"/>
  <c r="P29" i="11"/>
  <c r="P30" i="11"/>
  <c r="P31" i="11"/>
  <c r="Q31" i="11" s="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 i="11"/>
  <c r="P9" i="11"/>
  <c r="P10" i="11"/>
  <c r="P11" i="11"/>
  <c r="P12" i="11"/>
  <c r="P13" i="11"/>
  <c r="P14" i="11"/>
  <c r="P15" i="11"/>
  <c r="P16" i="11"/>
  <c r="Q17" i="11"/>
  <c r="AR25" i="1"/>
  <c r="AU24" i="1" l="1"/>
  <c r="AU79" i="1"/>
  <c r="AI72" i="1"/>
  <c r="AZ79" i="14"/>
  <c r="AZ79" i="15"/>
  <c r="AZ80" i="14"/>
  <c r="AZ80" i="15"/>
  <c r="AX79" i="15"/>
  <c r="AX79" i="13"/>
  <c r="AX79" i="14"/>
  <c r="AV73" i="15"/>
  <c r="AU23" i="1"/>
  <c r="AU78" i="1"/>
  <c r="AI71" i="1"/>
  <c r="AX80" i="15"/>
  <c r="AX80" i="14"/>
  <c r="AX80" i="13"/>
  <c r="AV73" i="14"/>
  <c r="AV71" i="15"/>
  <c r="AU25" i="1"/>
  <c r="AU80" i="1"/>
  <c r="AI73" i="1"/>
  <c r="AV71" i="14"/>
  <c r="AV73" i="13"/>
  <c r="BK23" i="14"/>
  <c r="BK23" i="15"/>
  <c r="BB78" i="15" s="1"/>
  <c r="BK23" i="13"/>
  <c r="J25" i="1"/>
  <c r="AV25" i="1" s="1"/>
  <c r="AK25" i="1"/>
  <c r="AL26" i="15"/>
  <c r="AO27" i="14"/>
  <c r="X27" i="14" s="1"/>
  <c r="AK28" i="13"/>
  <c r="AM28" i="13" s="1"/>
  <c r="AL28" i="13"/>
  <c r="AJ28" i="14"/>
  <c r="AP28" i="14" s="1"/>
  <c r="AL26" i="1"/>
  <c r="J26" i="1"/>
  <c r="AV26" i="1" s="1"/>
  <c r="AK26" i="15"/>
  <c r="AM26" i="15" s="1"/>
  <c r="BI26" i="15" s="1"/>
  <c r="AL74" i="15" s="1"/>
  <c r="AL27" i="14"/>
  <c r="AL27" i="15"/>
  <c r="AJ27" i="13"/>
  <c r="AP27" i="13" s="1"/>
  <c r="AO27" i="13"/>
  <c r="X27" i="13" s="1"/>
  <c r="AJ27" i="14"/>
  <c r="AP27" i="14" s="1"/>
  <c r="AJ28" i="13"/>
  <c r="AP28" i="13" s="1"/>
  <c r="AK27" i="15"/>
  <c r="AM27" i="15" s="1"/>
  <c r="BI27" i="15" s="1"/>
  <c r="AL75" i="15" s="1"/>
  <c r="AL26" i="14"/>
  <c r="AL27" i="13"/>
  <c r="J28" i="14"/>
  <c r="AV28" i="14" s="1"/>
  <c r="AO27" i="15"/>
  <c r="X27" i="15" s="1"/>
  <c r="J27" i="15"/>
  <c r="AJ26" i="13"/>
  <c r="AP26" i="13" s="1"/>
  <c r="AJ27" i="15"/>
  <c r="AP27" i="15" s="1"/>
  <c r="AK26" i="14"/>
  <c r="AM26" i="14" s="1"/>
  <c r="BI26" i="14" s="1"/>
  <c r="AL74" i="14" s="1"/>
  <c r="AL28" i="1"/>
  <c r="AJ28" i="15"/>
  <c r="AP28" i="15" s="1"/>
  <c r="J28" i="13"/>
  <c r="AV28" i="13" s="1"/>
  <c r="J27" i="13"/>
  <c r="AK28" i="15"/>
  <c r="AM28" i="15" s="1"/>
  <c r="AK28" i="14"/>
  <c r="AM28" i="14" s="1"/>
  <c r="AO28" i="13"/>
  <c r="AK28" i="1"/>
  <c r="J28" i="15"/>
  <c r="AV28" i="15" s="1"/>
  <c r="AL28" i="15"/>
  <c r="AJ28" i="1"/>
  <c r="AP28" i="1" s="1"/>
  <c r="AL28" i="14"/>
  <c r="AO28" i="15"/>
  <c r="J28" i="1"/>
  <c r="AV28" i="1" s="1"/>
  <c r="AK27" i="14"/>
  <c r="AM27" i="14" s="1"/>
  <c r="BI27" i="14" s="1"/>
  <c r="AL75" i="14" s="1"/>
  <c r="AJ26" i="1"/>
  <c r="AP26" i="1" s="1"/>
  <c r="AJ26" i="15"/>
  <c r="AP26" i="15" s="1"/>
  <c r="J27" i="14"/>
  <c r="AK27" i="13"/>
  <c r="AM27" i="13" s="1"/>
  <c r="BI27" i="13" s="1"/>
  <c r="AL75" i="13" s="1"/>
  <c r="AO28" i="14"/>
  <c r="AO28" i="1"/>
  <c r="J26" i="15"/>
  <c r="AV26" i="15" s="1"/>
  <c r="B27" i="16" s="1"/>
  <c r="AJ26" i="14"/>
  <c r="AP26" i="14" s="1"/>
  <c r="AK26" i="1"/>
  <c r="AM26" i="1" s="1"/>
  <c r="BI26" i="1" s="1"/>
  <c r="AL74" i="1" s="1"/>
  <c r="J26" i="14"/>
  <c r="AV26" i="14" s="1"/>
  <c r="B17" i="16" s="1"/>
  <c r="J26" i="13"/>
  <c r="AV26" i="13" s="1"/>
  <c r="B7" i="16" s="1"/>
  <c r="AL26" i="13"/>
  <c r="AK26" i="13"/>
  <c r="AM26" i="13" s="1"/>
  <c r="BI26" i="13" s="1"/>
  <c r="AL74" i="13" s="1"/>
  <c r="BR23" i="1"/>
  <c r="BR24" i="1"/>
  <c r="BR25" i="1"/>
  <c r="BR27" i="1"/>
  <c r="J23" i="1"/>
  <c r="AV23" i="1" s="1"/>
  <c r="AK23" i="1"/>
  <c r="AL23" i="1"/>
  <c r="AJ23" i="1"/>
  <c r="AP23" i="1" s="1"/>
  <c r="AO24" i="1"/>
  <c r="J24" i="1"/>
  <c r="AV24" i="1" s="1"/>
  <c r="AK24" i="1"/>
  <c r="AL24" i="1"/>
  <c r="AJ24" i="1"/>
  <c r="AP24" i="1" s="1"/>
  <c r="AL25" i="1"/>
  <c r="AJ25" i="1"/>
  <c r="AP25" i="1" s="1"/>
  <c r="AO25" i="1"/>
  <c r="J27" i="1"/>
  <c r="AV27" i="1" s="1"/>
  <c r="AK27" i="1"/>
  <c r="AO27" i="1"/>
  <c r="AL27" i="1"/>
  <c r="AJ27" i="1"/>
  <c r="AP27" i="1" s="1"/>
  <c r="AO23" i="1"/>
  <c r="X28" i="1" l="1"/>
  <c r="AU83" i="1" s="1"/>
  <c r="AX78" i="13"/>
  <c r="AX78" i="15"/>
  <c r="AX78" i="14"/>
  <c r="AZ78" i="14"/>
  <c r="AZ78" i="15"/>
  <c r="BG71" i="13"/>
  <c r="AZ71" i="13"/>
  <c r="BG72" i="13"/>
  <c r="AW72" i="13"/>
  <c r="AX72" i="13"/>
  <c r="BA71" i="13"/>
  <c r="AV71" i="13"/>
  <c r="AV72" i="13"/>
  <c r="BF71" i="13"/>
  <c r="BH72" i="13"/>
  <c r="BD72" i="13"/>
  <c r="BH71" i="13"/>
  <c r="BA72" i="13"/>
  <c r="BB71" i="13"/>
  <c r="AY72" i="13"/>
  <c r="BB72" i="13"/>
  <c r="AY71" i="13"/>
  <c r="BC71" i="13"/>
  <c r="AW71" i="13"/>
  <c r="BF72" i="13"/>
  <c r="AZ72" i="13"/>
  <c r="BC72" i="13"/>
  <c r="BE72" i="13"/>
  <c r="BD71" i="13"/>
  <c r="BE71" i="13"/>
  <c r="AX71" i="13"/>
  <c r="BA74" i="1"/>
  <c r="BG74" i="1"/>
  <c r="AZ74" i="1"/>
  <c r="AZ73" i="1"/>
  <c r="AY73" i="1"/>
  <c r="BH74" i="1"/>
  <c r="BG73" i="1"/>
  <c r="BB73" i="1"/>
  <c r="AX74" i="1"/>
  <c r="BF73" i="1"/>
  <c r="BC73" i="1"/>
  <c r="BF74" i="1"/>
  <c r="BB74" i="1"/>
  <c r="BH73" i="1"/>
  <c r="AV74" i="1"/>
  <c r="BE74" i="1"/>
  <c r="AW73" i="1"/>
  <c r="AY74" i="1"/>
  <c r="AX73" i="1"/>
  <c r="BA73" i="1"/>
  <c r="BD74" i="1"/>
  <c r="BC74" i="1"/>
  <c r="AW74" i="1"/>
  <c r="BD73" i="1"/>
  <c r="AV73" i="1"/>
  <c r="BE73" i="1"/>
  <c r="AV27" i="15"/>
  <c r="B28" i="16" s="1"/>
  <c r="BR28" i="15"/>
  <c r="AU28" i="15"/>
  <c r="A29" i="16" s="1"/>
  <c r="AV27" i="13"/>
  <c r="B8" i="16" s="1"/>
  <c r="BI28" i="14"/>
  <c r="AL76" i="14" s="1"/>
  <c r="AU28" i="14"/>
  <c r="A19" i="16" s="1"/>
  <c r="X28" i="15"/>
  <c r="BR28" i="13"/>
  <c r="AU28" i="13"/>
  <c r="X28" i="14"/>
  <c r="AV27" i="14"/>
  <c r="B18" i="16" s="1"/>
  <c r="X28" i="13"/>
  <c r="BI28" i="13"/>
  <c r="AL76" i="13" s="1"/>
  <c r="BR28" i="14"/>
  <c r="BI28" i="15"/>
  <c r="AL76" i="15" s="1"/>
  <c r="BK27" i="15"/>
  <c r="BB82" i="15" s="1"/>
  <c r="D9" i="16" l="1"/>
  <c r="B9" i="16"/>
  <c r="A9" i="16"/>
  <c r="BK28" i="14"/>
  <c r="AU83" i="14"/>
  <c r="AY69" i="13"/>
  <c r="BK28" i="13"/>
  <c r="AU83" i="13"/>
  <c r="X29" i="15"/>
  <c r="S5" i="17" s="1"/>
  <c r="AU83" i="15"/>
  <c r="AY69" i="14"/>
  <c r="BA69" i="15"/>
  <c r="BK27" i="14"/>
  <c r="X29" i="14"/>
  <c r="T53" i="14" s="1"/>
  <c r="BA69" i="13"/>
  <c r="BK27" i="13"/>
  <c r="X29" i="13"/>
  <c r="U61" i="13" s="1"/>
  <c r="AB61" i="13" s="1"/>
  <c r="AZ86" i="13" s="1"/>
  <c r="BK28" i="15"/>
  <c r="BB83" i="15" s="1"/>
  <c r="BA69" i="14"/>
  <c r="B19" i="16"/>
  <c r="AY69" i="15"/>
  <c r="D19" i="16"/>
  <c r="B29" i="16"/>
  <c r="D29" i="16"/>
  <c r="AO26" i="1"/>
  <c r="X26" i="1" s="1"/>
  <c r="BK26" i="1" s="1"/>
  <c r="W25" i="1"/>
  <c r="AI23" i="1"/>
  <c r="U61" i="15" l="1"/>
  <c r="AB61" i="15" s="1"/>
  <c r="AV81" i="14"/>
  <c r="AV81" i="13"/>
  <c r="AV81" i="15"/>
  <c r="AV81" i="1"/>
  <c r="T53" i="15"/>
  <c r="AX83" i="15"/>
  <c r="AX83" i="14"/>
  <c r="AX83" i="13"/>
  <c r="AX82" i="14"/>
  <c r="AX82" i="15"/>
  <c r="AX82" i="13"/>
  <c r="AZ82" i="14"/>
  <c r="AZ82" i="15"/>
  <c r="AZ83" i="14"/>
  <c r="AZ83" i="15"/>
  <c r="U61" i="14"/>
  <c r="AB61" i="14" s="1"/>
  <c r="AI25" i="1"/>
  <c r="T53" i="13"/>
  <c r="X23" i="1"/>
  <c r="AM23" i="1"/>
  <c r="BI23" i="1" s="1"/>
  <c r="AL71" i="1" s="1"/>
  <c r="AM28" i="1"/>
  <c r="AI24" i="1"/>
  <c r="X24" i="1" s="1"/>
  <c r="BK24" i="1" s="1"/>
  <c r="AI27" i="1"/>
  <c r="X27" i="1" s="1"/>
  <c r="BK23" i="1" l="1"/>
  <c r="AV78" i="15" s="1"/>
  <c r="AX87" i="13"/>
  <c r="AV78" i="14"/>
  <c r="AV78" i="13"/>
  <c r="AV79" i="14"/>
  <c r="AV79" i="13"/>
  <c r="AV79" i="15"/>
  <c r="AV79" i="1"/>
  <c r="BR28" i="1"/>
  <c r="AU28" i="1"/>
  <c r="C9" i="16" s="1"/>
  <c r="AM27" i="1"/>
  <c r="BI27" i="1" s="1"/>
  <c r="AL75" i="1" s="1"/>
  <c r="BK27" i="1"/>
  <c r="AM25" i="1"/>
  <c r="BI25" i="1" s="1"/>
  <c r="AL73" i="1" s="1"/>
  <c r="X25" i="1"/>
  <c r="F34" i="19" s="1"/>
  <c r="G34" i="19" s="1"/>
  <c r="E38" i="19" s="1"/>
  <c r="AM24" i="1"/>
  <c r="BI24" i="1" s="1"/>
  <c r="AL72" i="1" s="1"/>
  <c r="BI28" i="1"/>
  <c r="AL76" i="1" s="1"/>
  <c r="BK28" i="1"/>
  <c r="F4" i="1"/>
  <c r="AV78" i="1" l="1"/>
  <c r="AV82" i="15"/>
  <c r="AV82" i="14"/>
  <c r="AV82" i="13"/>
  <c r="AV82" i="1"/>
  <c r="AV83" i="1"/>
  <c r="AV83" i="15"/>
  <c r="AV83" i="14"/>
  <c r="AV83" i="13"/>
  <c r="BA69" i="1"/>
  <c r="X29" i="1"/>
  <c r="AY69" i="1"/>
  <c r="A10" i="16"/>
  <c r="B10" i="16"/>
  <c r="BK25" i="1"/>
  <c r="C6" i="8"/>
  <c r="AV80" i="15" l="1"/>
  <c r="AV80" i="1"/>
  <c r="AV80" i="14"/>
  <c r="AV80" i="13"/>
  <c r="M5" i="17"/>
  <c r="C19" i="16"/>
  <c r="M3" i="17"/>
  <c r="N5" i="17"/>
  <c r="P5" i="17"/>
  <c r="N3" i="17"/>
  <c r="A1" i="13"/>
  <c r="A2" i="16"/>
  <c r="D3" i="16"/>
  <c r="A16" i="13"/>
  <c r="C3" i="16"/>
  <c r="A1" i="16"/>
  <c r="O5" i="17"/>
  <c r="Z12" i="5"/>
  <c r="Y13" i="5"/>
  <c r="AN105" i="15"/>
  <c r="AM105" i="15"/>
  <c r="I49" i="19" s="1"/>
  <c r="J49" i="19" s="1"/>
  <c r="D49" i="19"/>
  <c r="AJ5" i="13"/>
  <c r="AE1" i="13" s="1"/>
  <c r="F4" i="13"/>
  <c r="AN104" i="14"/>
  <c r="AQ105" i="15"/>
  <c r="AU71" i="13"/>
  <c r="AU72" i="13"/>
  <c r="CC21" i="13"/>
  <c r="BT21" i="13"/>
  <c r="T21" i="13"/>
  <c r="O53" i="13"/>
  <c r="AU74" i="13"/>
  <c r="K21" i="13"/>
  <c r="O52" i="13"/>
  <c r="AU73" i="13"/>
  <c r="Z61" i="13"/>
  <c r="E52" i="13"/>
  <c r="C61" i="13"/>
  <c r="E53" i="13"/>
  <c r="S61" i="13"/>
  <c r="J61" i="13"/>
  <c r="AQ104" i="14"/>
  <c r="AM104" i="14"/>
  <c r="BD86" i="15"/>
  <c r="J53" i="14"/>
  <c r="BB86" i="14"/>
  <c r="AV87" i="1"/>
  <c r="U61" i="1"/>
  <c r="AJ52" i="13"/>
  <c r="T52" i="13" s="1"/>
  <c r="C7" i="8"/>
  <c r="C49" i="19" l="1"/>
  <c r="E49" i="19" s="1"/>
  <c r="P3" i="17"/>
  <c r="O3" i="17"/>
  <c r="D13" i="16"/>
  <c r="A16" i="14"/>
  <c r="A11" i="16"/>
  <c r="C13" i="16"/>
  <c r="A12" i="16"/>
  <c r="Q5" i="17"/>
  <c r="A1" i="14"/>
  <c r="R5" i="17"/>
  <c r="C29" i="16"/>
  <c r="AV87" i="13"/>
  <c r="AX88" i="13" s="1"/>
  <c r="AV87" i="15"/>
  <c r="AB61" i="1"/>
  <c r="H13" i="5" s="1"/>
  <c r="H12" i="5"/>
  <c r="Y33" i="5" s="1"/>
  <c r="E21" i="19" s="1"/>
  <c r="AV87" i="14"/>
  <c r="J52" i="14"/>
  <c r="AZ87" i="14"/>
  <c r="BB87" i="15"/>
  <c r="V52" i="13"/>
  <c r="AA99" i="14"/>
  <c r="AA89" i="14"/>
  <c r="AA95" i="14"/>
  <c r="AA91" i="14"/>
  <c r="AQ103" i="14"/>
  <c r="AA94" i="14"/>
  <c r="AA101" i="14"/>
  <c r="AA85" i="14"/>
  <c r="AA104" i="14"/>
  <c r="AM103" i="14"/>
  <c r="AN103" i="14"/>
  <c r="AA93" i="14"/>
  <c r="AA92" i="14"/>
  <c r="AM104" i="15"/>
  <c r="I48" i="19" s="1"/>
  <c r="J48" i="19" s="1"/>
  <c r="AN104" i="15"/>
  <c r="AQ104" i="15"/>
  <c r="AA88" i="14"/>
  <c r="AA97" i="14"/>
  <c r="AA12" i="5"/>
  <c r="Y14" i="5"/>
  <c r="AZ86" i="14"/>
  <c r="AA90" i="14"/>
  <c r="AA103" i="14"/>
  <c r="AJ52" i="14"/>
  <c r="T52" i="14" s="1"/>
  <c r="AA96" i="14"/>
  <c r="AA87" i="14"/>
  <c r="AA86" i="14"/>
  <c r="AA98" i="14"/>
  <c r="AA102" i="14"/>
  <c r="AA105" i="14"/>
  <c r="D48" i="19"/>
  <c r="C8" i="8"/>
  <c r="BB86" i="15"/>
  <c r="AJ5" i="14"/>
  <c r="AE1" i="14" s="1"/>
  <c r="F4" i="14"/>
  <c r="AU72" i="14"/>
  <c r="AU73" i="14"/>
  <c r="AU71" i="14"/>
  <c r="AU74" i="14"/>
  <c r="Z61" i="14"/>
  <c r="K21" i="14"/>
  <c r="S61" i="14"/>
  <c r="AS1" i="13"/>
  <c r="J61" i="14"/>
  <c r="C61" i="14"/>
  <c r="T21" i="14"/>
  <c r="O53" i="14"/>
  <c r="E52" i="14"/>
  <c r="BT21" i="14"/>
  <c r="O52" i="14"/>
  <c r="E53" i="14"/>
  <c r="CC21" i="14"/>
  <c r="AS105" i="15"/>
  <c r="AR105" i="15"/>
  <c r="AS104" i="14"/>
  <c r="AR104" i="14"/>
  <c r="AS88" i="14"/>
  <c r="AR88" i="14"/>
  <c r="AS89" i="15"/>
  <c r="AR89" i="15"/>
  <c r="C48" i="19" l="1"/>
  <c r="E48" i="19" s="1"/>
  <c r="AA89" i="15"/>
  <c r="R3" i="17"/>
  <c r="S3" i="17"/>
  <c r="Q3" i="17"/>
  <c r="T3" i="17"/>
  <c r="C23" i="16"/>
  <c r="A16" i="15"/>
  <c r="A21" i="16"/>
  <c r="A22" i="16"/>
  <c r="D23" i="16"/>
  <c r="AS87" i="14"/>
  <c r="J53" i="13"/>
  <c r="AZ88" i="14"/>
  <c r="AN103" i="15"/>
  <c r="AA87" i="15"/>
  <c r="B25" i="5"/>
  <c r="A1" i="15"/>
  <c r="AB30" i="5"/>
  <c r="J52" i="15"/>
  <c r="AC30" i="5"/>
  <c r="AZ87" i="15"/>
  <c r="AZ88" i="15" s="1"/>
  <c r="AX87" i="14"/>
  <c r="AX88" i="14" s="1"/>
  <c r="V52" i="14"/>
  <c r="Y32" i="5"/>
  <c r="AX86" i="1"/>
  <c r="AA90" i="15"/>
  <c r="AA88" i="15"/>
  <c r="AZ86" i="15"/>
  <c r="AA91" i="15"/>
  <c r="AJ52" i="15"/>
  <c r="T52" i="15" s="1"/>
  <c r="AA93" i="15"/>
  <c r="AA85" i="15"/>
  <c r="AA92" i="15"/>
  <c r="AA103" i="15"/>
  <c r="I11" i="8"/>
  <c r="I13" i="8" s="1"/>
  <c r="AR103" i="14"/>
  <c r="AA98" i="15"/>
  <c r="AA99" i="15"/>
  <c r="AA86" i="15"/>
  <c r="AA96" i="15"/>
  <c r="AA94" i="15"/>
  <c r="AA102" i="15"/>
  <c r="F11" i="8"/>
  <c r="AA101" i="15"/>
  <c r="AA95" i="15"/>
  <c r="AA104" i="15"/>
  <c r="AA97" i="15"/>
  <c r="C47" i="19"/>
  <c r="AR104" i="15"/>
  <c r="J53" i="15"/>
  <c r="AA105" i="15"/>
  <c r="AS103" i="14"/>
  <c r="AS104" i="15"/>
  <c r="AL105" i="15"/>
  <c r="AB12" i="5"/>
  <c r="Y15" i="5"/>
  <c r="AC12" i="5"/>
  <c r="C14" i="8"/>
  <c r="B21" i="5"/>
  <c r="AM103" i="15"/>
  <c r="I47" i="19" s="1"/>
  <c r="J47" i="19" s="1"/>
  <c r="AQ103" i="15"/>
  <c r="C15" i="8"/>
  <c r="AS88" i="15"/>
  <c r="AL89" i="13"/>
  <c r="AR88" i="15"/>
  <c r="AL104" i="1"/>
  <c r="AL105" i="14"/>
  <c r="AL89" i="1"/>
  <c r="AL88" i="1"/>
  <c r="BD77" i="1"/>
  <c r="AL105" i="1"/>
  <c r="BD77" i="13"/>
  <c r="AL105" i="13"/>
  <c r="BB77" i="1"/>
  <c r="AL89" i="15"/>
  <c r="BD77" i="14"/>
  <c r="AL89" i="14"/>
  <c r="S61" i="15"/>
  <c r="J61" i="15"/>
  <c r="AU71" i="15"/>
  <c r="Z61" i="15"/>
  <c r="C61" i="15"/>
  <c r="AL104" i="15"/>
  <c r="AL88" i="15"/>
  <c r="BB77" i="15"/>
  <c r="K21" i="15"/>
  <c r="AU73" i="15"/>
  <c r="AU72" i="15"/>
  <c r="F4" i="15"/>
  <c r="O53" i="15"/>
  <c r="O52" i="15"/>
  <c r="E53" i="15"/>
  <c r="AJ5" i="15"/>
  <c r="AE1" i="15" s="1"/>
  <c r="CC21" i="15"/>
  <c r="AU74" i="15"/>
  <c r="E52" i="15"/>
  <c r="BT21" i="15"/>
  <c r="T21" i="15"/>
  <c r="AS1" i="14"/>
  <c r="AL104" i="13"/>
  <c r="AL104" i="14"/>
  <c r="AL88" i="13"/>
  <c r="BB77" i="13"/>
  <c r="BB77" i="14"/>
  <c r="AL88" i="14"/>
  <c r="BD77" i="15"/>
  <c r="F7" i="19" l="1"/>
  <c r="BB88" i="15"/>
  <c r="AX87" i="15"/>
  <c r="AX88" i="15" s="1"/>
  <c r="V52" i="15"/>
  <c r="I12" i="8"/>
  <c r="AR87" i="14"/>
  <c r="I15" i="8"/>
  <c r="I14" i="8"/>
  <c r="AR103" i="15"/>
  <c r="AS103" i="15"/>
  <c r="AS87" i="15" l="1"/>
  <c r="K29" i="5" s="1"/>
  <c r="D47" i="19"/>
  <c r="E47" i="19" s="1"/>
  <c r="F6" i="19" s="1"/>
  <c r="Y9" i="5"/>
  <c r="BI88" i="15"/>
  <c r="AR87" i="15"/>
  <c r="F29" i="5" s="1"/>
  <c r="H14" i="5" l="1"/>
  <c r="H16" i="5"/>
  <c r="H24" i="5"/>
  <c r="H17" i="5"/>
  <c r="AA31" i="5" s="1"/>
  <c r="P14" i="5"/>
  <c r="M14" i="5" s="1"/>
  <c r="P22" i="5"/>
  <c r="M22" i="5" s="1"/>
  <c r="P18" i="5"/>
  <c r="M18" i="5" s="1"/>
  <c r="N22" i="5"/>
  <c r="N18" i="5"/>
  <c r="N14" i="5"/>
  <c r="N21" i="5"/>
  <c r="N25" i="5"/>
  <c r="N17" i="5"/>
  <c r="Z31" i="5"/>
  <c r="J39" i="5"/>
  <c r="J33" i="5"/>
  <c r="J31" i="5"/>
  <c r="J35" i="5"/>
  <c r="J37" i="5"/>
  <c r="C39" i="5"/>
  <c r="C33" i="5"/>
  <c r="C37" i="5"/>
  <c r="C35" i="5"/>
  <c r="C31" i="5"/>
  <c r="H22" i="5"/>
  <c r="H20" i="5"/>
  <c r="H25" i="5"/>
  <c r="AC31" i="5" s="1"/>
  <c r="H18" i="5"/>
  <c r="H21" i="5"/>
  <c r="AB31" i="5" s="1"/>
  <c r="Z32" i="5" l="1"/>
  <c r="Z33" i="5"/>
  <c r="AB32" i="5"/>
  <c r="AB33" i="5"/>
  <c r="AA32" i="5"/>
  <c r="AA33" i="5"/>
  <c r="AB34" i="5" l="1"/>
  <c r="H21" i="19"/>
  <c r="H22" i="19" s="1"/>
  <c r="AA34" i="5"/>
  <c r="G21" i="19"/>
  <c r="G22" i="19" s="1"/>
  <c r="Z34" i="5"/>
  <c r="F21" i="19"/>
  <c r="F22" i="19" s="1"/>
  <c r="I22" i="19" s="1"/>
  <c r="F38" i="19" l="1"/>
  <c r="F39" i="19" s="1"/>
  <c r="H38" i="19"/>
  <c r="H39" i="19" s="1"/>
  <c r="G38" i="19"/>
  <c r="G39" i="19" s="1"/>
  <c r="I39" i="19" l="1"/>
  <c r="J38" i="19" s="1"/>
  <c r="J21" i="19"/>
  <c r="F5" i="19" l="1"/>
  <c r="F8" i="19" s="1"/>
  <c r="I8" i="19" l="1"/>
  <c r="H9" i="1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<sst xmlns="http://schemas.openxmlformats.org/spreadsheetml/2006/main" count="7058" uniqueCount="4353">
  <si>
    <t>◆基本情報</t>
    <rPh sb="1" eb="3">
      <t>キホン</t>
    </rPh>
    <rPh sb="3" eb="5">
      <t>ジョウホウ</t>
    </rPh>
    <phoneticPr fontId="4"/>
  </si>
  <si>
    <t>提出年月日</t>
    <rPh sb="0" eb="2">
      <t>テイシュツ</t>
    </rPh>
    <rPh sb="2" eb="5">
      <t>ネンガッピ</t>
    </rPh>
    <phoneticPr fontId="4"/>
  </si>
  <si>
    <t>エネルギー使用量</t>
    <rPh sb="5" eb="8">
      <t>シヨウリョウ</t>
    </rPh>
    <phoneticPr fontId="4"/>
  </si>
  <si>
    <t>排出係数</t>
    <rPh sb="0" eb="2">
      <t>ハイシュツ</t>
    </rPh>
    <rPh sb="2" eb="4">
      <t>ケイスウ</t>
    </rPh>
    <phoneticPr fontId="4"/>
  </si>
  <si>
    <t>都市ガス</t>
    <rPh sb="0" eb="2">
      <t>トシ</t>
    </rPh>
    <phoneticPr fontId="4"/>
  </si>
  <si>
    <t>プロパンガス</t>
    <phoneticPr fontId="4"/>
  </si>
  <si>
    <t>灯油</t>
    <rPh sb="0" eb="2">
      <t>トウユ</t>
    </rPh>
    <phoneticPr fontId="4"/>
  </si>
  <si>
    <t>ガソリン</t>
    <phoneticPr fontId="4"/>
  </si>
  <si>
    <t>エネルギーの種類</t>
    <rPh sb="6" eb="8">
      <t>シュルイ</t>
    </rPh>
    <phoneticPr fontId="4"/>
  </si>
  <si>
    <t>単位</t>
    <rPh sb="0" eb="2">
      <t>タンイ</t>
    </rPh>
    <phoneticPr fontId="4"/>
  </si>
  <si>
    <t>4月</t>
    <rPh sb="1" eb="2">
      <t>ガツ</t>
    </rPh>
    <phoneticPr fontId="4"/>
  </si>
  <si>
    <t>5月</t>
    <rPh sb="1" eb="2">
      <t>ガツ</t>
    </rPh>
    <phoneticPr fontId="4"/>
  </si>
  <si>
    <t>6月</t>
    <rPh sb="1" eb="2">
      <t>ツキ</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</si>
  <si>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</si>
  <si>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</si>
  <si>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</si>
  <si>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</si>
  <si>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</si>
  <si>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</si>
  <si>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</si>
  <si>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</si>
  <si>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</si>
  <si>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軽油</t>
    <rPh sb="0" eb="2">
      <t>ケイユ</t>
    </rPh>
    <phoneticPr fontId="4"/>
  </si>
  <si>
    <t>合計</t>
    <rPh sb="0" eb="2">
      <t>ゴウケイ</t>
    </rPh>
    <phoneticPr fontId="4"/>
  </si>
  <si>
    <t>kWh</t>
    <phoneticPr fontId="4"/>
  </si>
  <si>
    <r>
      <t>m</t>
    </r>
    <r>
      <rPr>
        <vertAlign val="superscript"/>
        <sz val="11"/>
        <color theme="1"/>
        <rFont val="メイリオ"/>
        <family val="3"/>
        <charset val="128"/>
      </rPr>
      <t>3</t>
    </r>
    <phoneticPr fontId="4"/>
  </si>
  <si>
    <t>リットル</t>
    <phoneticPr fontId="4"/>
  </si>
  <si>
    <t>-</t>
    <phoneticPr fontId="4"/>
  </si>
  <si>
    <t>排出量</t>
    <rPh sb="0" eb="2">
      <t>ハイシュツ</t>
    </rPh>
    <rPh sb="2" eb="3">
      <t>リョウ</t>
    </rPh>
    <phoneticPr fontId="4"/>
  </si>
  <si>
    <t>t-CO2</t>
    <phoneticPr fontId="4"/>
  </si>
  <si>
    <t>使用量</t>
    <rPh sb="0" eb="3">
      <t>シヨウリョウ</t>
    </rPh>
    <phoneticPr fontId="4"/>
  </si>
  <si>
    <t>年</t>
    <rPh sb="0" eb="1">
      <t>ネン</t>
    </rPh>
    <phoneticPr fontId="4"/>
  </si>
  <si>
    <t>月</t>
    <rPh sb="0" eb="1">
      <t>ガツ</t>
    </rPh>
    <phoneticPr fontId="4"/>
  </si>
  <si>
    <t>日</t>
    <rPh sb="0" eb="1">
      <t>ヒ</t>
    </rPh>
    <phoneticPr fontId="4"/>
  </si>
  <si>
    <t>〒</t>
    <phoneticPr fontId="4"/>
  </si>
  <si>
    <t>計画期間</t>
    <rPh sb="0" eb="2">
      <t>ケイカク</t>
    </rPh>
    <rPh sb="2" eb="4">
      <t>キカン</t>
    </rPh>
    <phoneticPr fontId="4"/>
  </si>
  <si>
    <t>第</t>
    <rPh sb="0" eb="1">
      <t>ダイ</t>
    </rPh>
    <phoneticPr fontId="4"/>
  </si>
  <si>
    <t>第１年度</t>
    <rPh sb="0" eb="1">
      <t>ダイ</t>
    </rPh>
    <rPh sb="2" eb="4">
      <t>ネンド</t>
    </rPh>
    <phoneticPr fontId="4"/>
  </si>
  <si>
    <t>第２年度</t>
    <rPh sb="0" eb="1">
      <t>ダイ</t>
    </rPh>
    <rPh sb="2" eb="4">
      <t>ネンド</t>
    </rPh>
    <phoneticPr fontId="4"/>
  </si>
  <si>
    <t>第３年度</t>
    <rPh sb="0" eb="1">
      <t>ダイ</t>
    </rPh>
    <rPh sb="2" eb="4">
      <t>ネンド</t>
    </rPh>
    <phoneticPr fontId="4"/>
  </si>
  <si>
    <t>参加年度</t>
    <rPh sb="0" eb="2">
      <t>サンカ</t>
    </rPh>
    <rPh sb="2" eb="4">
      <t>ネンド</t>
    </rPh>
    <phoneticPr fontId="4"/>
  </si>
  <si>
    <t>年度</t>
    <rPh sb="0" eb="2">
      <t>ネンド</t>
    </rPh>
    <phoneticPr fontId="4"/>
  </si>
  <si>
    <t>※本シートは、HP掲載時にシート保護＆非表示！</t>
    <rPh sb="1" eb="2">
      <t>ホン</t>
    </rPh>
    <rPh sb="9" eb="11">
      <t>ケイサイ</t>
    </rPh>
    <rPh sb="11" eb="12">
      <t>ジ</t>
    </rPh>
    <rPh sb="16" eb="18">
      <t>ホゴ</t>
    </rPh>
    <rPh sb="19" eb="22">
      <t>ヒヒョウジ</t>
    </rPh>
    <phoneticPr fontId="4"/>
  </si>
  <si>
    <t>現計画期間を入力</t>
    <rPh sb="0" eb="1">
      <t>ゲン</t>
    </rPh>
    <rPh sb="1" eb="3">
      <t>ケイカク</t>
    </rPh>
    <rPh sb="3" eb="5">
      <t>キカン</t>
    </rPh>
    <rPh sb="6" eb="8">
      <t>ニュウリョク</t>
    </rPh>
    <phoneticPr fontId="4"/>
  </si>
  <si>
    <t>現在の年度を入力　※毎年度更新</t>
    <rPh sb="0" eb="2">
      <t>ゲンザイ</t>
    </rPh>
    <rPh sb="3" eb="5">
      <t>ネンド</t>
    </rPh>
    <rPh sb="6" eb="8">
      <t>ニュウリョク</t>
    </rPh>
    <rPh sb="10" eb="13">
      <t>マイネンド</t>
    </rPh>
    <rPh sb="13" eb="15">
      <t>コウシン</t>
    </rPh>
    <phoneticPr fontId="4"/>
  </si>
  <si>
    <t>第１年度のときの東北電力の残差メニューの排出係数を入力　※計画期間ごとに更新</t>
    <rPh sb="0" eb="1">
      <t>ダイ</t>
    </rPh>
    <rPh sb="2" eb="4">
      <t>ネンド</t>
    </rPh>
    <rPh sb="8" eb="10">
      <t>トウホク</t>
    </rPh>
    <rPh sb="10" eb="12">
      <t>デンリョク</t>
    </rPh>
    <rPh sb="13" eb="15">
      <t>ザンサ</t>
    </rPh>
    <rPh sb="20" eb="22">
      <t>ハイシュツ</t>
    </rPh>
    <rPh sb="22" eb="24">
      <t>ケイスウ</t>
    </rPh>
    <rPh sb="25" eb="27">
      <t>ニュウリョク</t>
    </rPh>
    <rPh sb="29" eb="31">
      <t>ケイカク</t>
    </rPh>
    <rPh sb="31" eb="33">
      <t>キカン</t>
    </rPh>
    <rPh sb="36" eb="38">
      <t>コウシン</t>
    </rPh>
    <phoneticPr fontId="4"/>
  </si>
  <si>
    <t>事業所の概要</t>
    <rPh sb="0" eb="3">
      <t>ジギョウショ</t>
    </rPh>
    <rPh sb="4" eb="6">
      <t>ガイヨウ</t>
    </rPh>
    <phoneticPr fontId="4"/>
  </si>
  <si>
    <t>担当者情報</t>
    <rPh sb="0" eb="3">
      <t>タントウシャ</t>
    </rPh>
    <rPh sb="3" eb="5">
      <t>ジョウホウ</t>
    </rPh>
    <phoneticPr fontId="4"/>
  </si>
  <si>
    <t>事業者の概要</t>
    <rPh sb="0" eb="3">
      <t>ジギョウシャ</t>
    </rPh>
    <rPh sb="4" eb="6">
      <t>ガイヨウ</t>
    </rPh>
    <phoneticPr fontId="4"/>
  </si>
  <si>
    <t>中分類</t>
    <rPh sb="0" eb="3">
      <t>チュウブンルイ</t>
    </rPh>
    <phoneticPr fontId="15"/>
  </si>
  <si>
    <t>名称</t>
    <rPh sb="0" eb="2">
      <t>メイショウ</t>
    </rPh>
    <phoneticPr fontId="15"/>
  </si>
  <si>
    <t>小分類</t>
    <rPh sb="0" eb="1">
      <t>ショウ</t>
    </rPh>
    <rPh sb="1" eb="3">
      <t>ブンルイ</t>
    </rPh>
    <phoneticPr fontId="15"/>
  </si>
  <si>
    <t>細分類</t>
    <rPh sb="0" eb="3">
      <t>サイブンルイ</t>
    </rPh>
    <phoneticPr fontId="15"/>
  </si>
  <si>
    <t>01</t>
    <phoneticPr fontId="16"/>
  </si>
  <si>
    <t>農業</t>
    <phoneticPr fontId="16"/>
  </si>
  <si>
    <t>010</t>
  </si>
  <si>
    <t>管理，補助的経済活動を行う事業所（01農業）</t>
  </si>
  <si>
    <t>0100</t>
  </si>
  <si>
    <t>主として管理事務を行う本社等</t>
  </si>
  <si>
    <t>02</t>
  </si>
  <si>
    <t>林業</t>
  </si>
  <si>
    <t>011</t>
  </si>
  <si>
    <t>耕種農業</t>
  </si>
  <si>
    <t>0109</t>
  </si>
  <si>
    <t>その他の管理，補助的経済活動を行う事業所</t>
  </si>
  <si>
    <t>03</t>
  </si>
  <si>
    <t>漁業（水産養殖業を除く）</t>
  </si>
  <si>
    <t>012</t>
  </si>
  <si>
    <t>畜産農業</t>
  </si>
  <si>
    <t>0111</t>
  </si>
  <si>
    <t>米作農業</t>
  </si>
  <si>
    <t>04</t>
  </si>
  <si>
    <t>水産養殖業</t>
  </si>
  <si>
    <t>013</t>
  </si>
  <si>
    <t>農業サービス業（園芸サービス業を除く）</t>
  </si>
  <si>
    <t>0112</t>
  </si>
  <si>
    <t>米作以外の穀作農業</t>
  </si>
  <si>
    <t>05</t>
  </si>
  <si>
    <t>鉱業、採石業、砂利採取業</t>
  </si>
  <si>
    <t>014</t>
  </si>
  <si>
    <t>園芸サービス業</t>
  </si>
  <si>
    <t>0113</t>
  </si>
  <si>
    <t>野菜作農業（きのこ類の栽培を含む）</t>
  </si>
  <si>
    <t>06</t>
  </si>
  <si>
    <t>総合工事業</t>
  </si>
  <si>
    <t>020</t>
  </si>
  <si>
    <t>管理，補助的経済活動を行う事業所（02林業）</t>
  </si>
  <si>
    <t>0114</t>
  </si>
  <si>
    <t>果樹作農業</t>
  </si>
  <si>
    <t>07</t>
  </si>
  <si>
    <t>職別工事業(設備工事業を除く)</t>
  </si>
  <si>
    <t>021</t>
  </si>
  <si>
    <t>育林業</t>
  </si>
  <si>
    <t>0115</t>
  </si>
  <si>
    <t>花き作農業</t>
  </si>
  <si>
    <t>08</t>
  </si>
  <si>
    <t>設備工事業</t>
  </si>
  <si>
    <t>022</t>
  </si>
  <si>
    <t>素材生産業</t>
  </si>
  <si>
    <t>0116</t>
  </si>
  <si>
    <t>工芸農作物農業</t>
  </si>
  <si>
    <t>09</t>
  </si>
  <si>
    <t>食料品製造業</t>
  </si>
  <si>
    <t>023</t>
  </si>
  <si>
    <t>特用林産物生産業（きのこ類の栽培を除く）</t>
  </si>
  <si>
    <t>0117</t>
  </si>
  <si>
    <t>ばれいしょ・かんしょ作農業</t>
  </si>
  <si>
    <t>10</t>
  </si>
  <si>
    <t>飲料・たばこ・飼料製造業</t>
  </si>
  <si>
    <t>024</t>
  </si>
  <si>
    <t>林業サービス業</t>
  </si>
  <si>
    <t>0119</t>
  </si>
  <si>
    <t>その他の耕種農業</t>
  </si>
  <si>
    <t>11</t>
  </si>
  <si>
    <t>繊維工業</t>
  </si>
  <si>
    <t>029</t>
  </si>
  <si>
    <t>その他の林業</t>
  </si>
  <si>
    <t>0121</t>
  </si>
  <si>
    <t>酪農業</t>
  </si>
  <si>
    <t>12</t>
  </si>
  <si>
    <t>木材・木製品製造業（家具を除く）</t>
  </si>
  <si>
    <t>030</t>
  </si>
  <si>
    <t>管理，補助的経済活動を行う事業所（03漁業）</t>
  </si>
  <si>
    <t>0122</t>
  </si>
  <si>
    <t>肉用牛生産業</t>
  </si>
  <si>
    <t>13</t>
  </si>
  <si>
    <t>家具・装備品製造業</t>
  </si>
  <si>
    <t>031</t>
  </si>
  <si>
    <t>海面漁業</t>
  </si>
  <si>
    <t>0123</t>
  </si>
  <si>
    <t>養豚業</t>
  </si>
  <si>
    <t>14</t>
  </si>
  <si>
    <t>パルプ・紙・紙加工品製造業</t>
  </si>
  <si>
    <t>032</t>
  </si>
  <si>
    <t>内水面漁業</t>
  </si>
  <si>
    <t>0124</t>
  </si>
  <si>
    <t>養鶏業</t>
  </si>
  <si>
    <t>15</t>
  </si>
  <si>
    <t>印刷・同関連業</t>
  </si>
  <si>
    <t>040</t>
  </si>
  <si>
    <t>管理，補助的経済活動を行う事業所（04水産養殖業）</t>
  </si>
  <si>
    <t>0125</t>
  </si>
  <si>
    <t>畜産類似業</t>
  </si>
  <si>
    <t>16</t>
  </si>
  <si>
    <t>化学工業</t>
  </si>
  <si>
    <t>041</t>
  </si>
  <si>
    <t>海面養殖業</t>
  </si>
  <si>
    <t>0126</t>
  </si>
  <si>
    <t>養蚕農業</t>
  </si>
  <si>
    <t>17</t>
  </si>
  <si>
    <t>石油製品・石炭製品製造業</t>
  </si>
  <si>
    <t>042</t>
  </si>
  <si>
    <t>内水面養殖業</t>
  </si>
  <si>
    <t>0129</t>
  </si>
  <si>
    <t>その他の畜産農業</t>
  </si>
  <si>
    <t>18</t>
  </si>
  <si>
    <t>プラスチック製品製造業（別掲を除く）</t>
  </si>
  <si>
    <t>050</t>
  </si>
  <si>
    <t>管理，補助的経済活動を行う事業所（05鉱業，採石業，砂利採取業）</t>
  </si>
  <si>
    <t>0131</t>
  </si>
  <si>
    <t>穀作サービス業</t>
  </si>
  <si>
    <t>19</t>
  </si>
  <si>
    <t>ゴム製品製造業</t>
  </si>
  <si>
    <t>051</t>
  </si>
  <si>
    <t>金属鉱業</t>
  </si>
  <si>
    <t>0132</t>
  </si>
  <si>
    <t>野菜作・果樹作サービス業</t>
  </si>
  <si>
    <t>20</t>
  </si>
  <si>
    <t>なめし革・同製品・毛皮製造業</t>
  </si>
  <si>
    <t>052</t>
  </si>
  <si>
    <t>石炭・亜炭鉱業</t>
  </si>
  <si>
    <t>0133</t>
  </si>
  <si>
    <t>穀作，野菜作・果樹作以外の耕種サービス業</t>
  </si>
  <si>
    <t>21</t>
  </si>
  <si>
    <t>窯業・土石製品製造業</t>
  </si>
  <si>
    <t>053</t>
  </si>
  <si>
    <t>原油・天然ガス鉱業</t>
  </si>
  <si>
    <t>0134</t>
  </si>
  <si>
    <t>畜産サービス業（獣医業を除く）</t>
  </si>
  <si>
    <t>22</t>
  </si>
  <si>
    <t>鉄鋼業</t>
  </si>
  <si>
    <t>054</t>
  </si>
  <si>
    <t>採石業，砂・砂利・玉石採取業</t>
  </si>
  <si>
    <t>0141</t>
  </si>
  <si>
    <t>23</t>
  </si>
  <si>
    <t>非鉄金属製造業</t>
  </si>
  <si>
    <t>055</t>
  </si>
  <si>
    <t>窯業原料用鉱物鉱業（耐火物・陶磁器・ガラス・セメント原料用に限る）</t>
  </si>
  <si>
    <t>0200</t>
  </si>
  <si>
    <t>24</t>
  </si>
  <si>
    <t>金属製品製造業</t>
  </si>
  <si>
    <t>059</t>
  </si>
  <si>
    <t>その他の鉱業</t>
  </si>
  <si>
    <t>0209</t>
  </si>
  <si>
    <t>25</t>
  </si>
  <si>
    <t>はん用機械器具製造業</t>
  </si>
  <si>
    <t>060</t>
  </si>
  <si>
    <t>管理，補助的経済活動を行う事業所（06総合工事業）</t>
  </si>
  <si>
    <t>0211</t>
  </si>
  <si>
    <t>26</t>
  </si>
  <si>
    <t>生産用機械器具製造業</t>
  </si>
  <si>
    <t>061</t>
  </si>
  <si>
    <t>一般土木建築工事業</t>
  </si>
  <si>
    <t>0221</t>
  </si>
  <si>
    <t>27</t>
  </si>
  <si>
    <t>業務用機械器具製造業</t>
  </si>
  <si>
    <t>062</t>
  </si>
  <si>
    <t>土木工事業（舗装工事業を除く）</t>
  </si>
  <si>
    <t>0231</t>
  </si>
  <si>
    <t>製薪炭業</t>
  </si>
  <si>
    <t>28</t>
  </si>
  <si>
    <t>電子部品・デバイス・電子回路製造業</t>
  </si>
  <si>
    <t>063</t>
  </si>
  <si>
    <t>舗装工事業</t>
  </si>
  <si>
    <t>0239</t>
  </si>
  <si>
    <t>その他の特用林産物生産業（きのこ類の栽培を除く）</t>
  </si>
  <si>
    <t>29</t>
  </si>
  <si>
    <t>電気機械器具製造業</t>
  </si>
  <si>
    <t>064</t>
  </si>
  <si>
    <t>建築工事業(木造建築工事業を除く)</t>
  </si>
  <si>
    <t>0241</t>
  </si>
  <si>
    <t>育林サービス業</t>
  </si>
  <si>
    <t>30</t>
  </si>
  <si>
    <t>情報通信機械器具製造業</t>
  </si>
  <si>
    <t>065</t>
  </si>
  <si>
    <t>木造建築工事業</t>
  </si>
  <si>
    <t>0242</t>
  </si>
  <si>
    <t>素材生産サービス業</t>
  </si>
  <si>
    <t>31</t>
  </si>
  <si>
    <t>輸送用機械器具製造業</t>
  </si>
  <si>
    <t>066</t>
  </si>
  <si>
    <t>建築リフォーム工事業</t>
  </si>
  <si>
    <t>0243</t>
  </si>
  <si>
    <t>山林種苗生産サービス業</t>
  </si>
  <si>
    <t>32</t>
  </si>
  <si>
    <t>その他の製造業</t>
  </si>
  <si>
    <t>070</t>
  </si>
  <si>
    <t>管理，補助的経済活動を行う事業所（07職別工事業）</t>
  </si>
  <si>
    <t>0249</t>
  </si>
  <si>
    <t>その他の林業サービス業</t>
  </si>
  <si>
    <t>33</t>
  </si>
  <si>
    <t>電気業</t>
  </si>
  <si>
    <t>071</t>
  </si>
  <si>
    <t>大工工事業</t>
  </si>
  <si>
    <t>0299</t>
  </si>
  <si>
    <t>34</t>
  </si>
  <si>
    <t>ガス業</t>
  </si>
  <si>
    <t>072</t>
  </si>
  <si>
    <t>とび・土工・コンクリート工事業</t>
  </si>
  <si>
    <t>0300</t>
  </si>
  <si>
    <t>35</t>
  </si>
  <si>
    <t>熱供給業</t>
  </si>
  <si>
    <t>073</t>
  </si>
  <si>
    <t>鉄骨・鉄筋工事業</t>
  </si>
  <si>
    <t>0309</t>
  </si>
  <si>
    <t>36</t>
  </si>
  <si>
    <t>水道業</t>
  </si>
  <si>
    <t>074</t>
  </si>
  <si>
    <t>石工・れんが・タイル・ブロック工事業</t>
  </si>
  <si>
    <t>0311</t>
  </si>
  <si>
    <t>底びき網漁業</t>
  </si>
  <si>
    <t>37</t>
  </si>
  <si>
    <t>通信業</t>
  </si>
  <si>
    <t>075</t>
  </si>
  <si>
    <t>左官工事業</t>
  </si>
  <si>
    <t>0312</t>
  </si>
  <si>
    <t>まき網漁業</t>
  </si>
  <si>
    <t>38</t>
  </si>
  <si>
    <t>放送業</t>
  </si>
  <si>
    <t>076</t>
  </si>
  <si>
    <t>板金・金物工事業</t>
  </si>
  <si>
    <t>0313</t>
  </si>
  <si>
    <t>刺網漁業</t>
  </si>
  <si>
    <t>39</t>
  </si>
  <si>
    <t>情報サービス業</t>
  </si>
  <si>
    <t>077</t>
  </si>
  <si>
    <t>塗装工事業</t>
  </si>
  <si>
    <t>0314</t>
  </si>
  <si>
    <t>釣・はえ縄漁業</t>
  </si>
  <si>
    <t>40</t>
  </si>
  <si>
    <t>インターネット附随サービス業</t>
  </si>
  <si>
    <t>078</t>
  </si>
  <si>
    <t>床・内装工事業</t>
  </si>
  <si>
    <t>0315</t>
  </si>
  <si>
    <t>定置網漁業</t>
  </si>
  <si>
    <t>41</t>
  </si>
  <si>
    <t>映像・音声・文字情報制作業</t>
  </si>
  <si>
    <t>079</t>
  </si>
  <si>
    <t>その他の職別工事業</t>
  </si>
  <si>
    <t>0316</t>
  </si>
  <si>
    <t>地びき網・船びき網漁業</t>
  </si>
  <si>
    <t>42</t>
  </si>
  <si>
    <t>鉄道業</t>
  </si>
  <si>
    <t>080</t>
  </si>
  <si>
    <t>管理，補助的経済活動を行う事業所（08設備工事業）</t>
  </si>
  <si>
    <t>0317</t>
  </si>
  <si>
    <t>採貝・採藻業</t>
  </si>
  <si>
    <t>43</t>
  </si>
  <si>
    <t>道路旅客運送業</t>
  </si>
  <si>
    <t>081</t>
  </si>
  <si>
    <t>電気工事業</t>
  </si>
  <si>
    <t>0318</t>
  </si>
  <si>
    <t>捕鯨業</t>
  </si>
  <si>
    <t>44</t>
  </si>
  <si>
    <t>道路貨物運送業</t>
  </si>
  <si>
    <t>082</t>
  </si>
  <si>
    <t>電気通信・信号装置工事業</t>
  </si>
  <si>
    <t>0319</t>
  </si>
  <si>
    <t>その他の海面漁業</t>
  </si>
  <si>
    <t>45</t>
  </si>
  <si>
    <t>水運業</t>
  </si>
  <si>
    <t>083</t>
  </si>
  <si>
    <t>管工事業（さく井工事業を除く）</t>
  </si>
  <si>
    <t>0321</t>
  </si>
  <si>
    <t>46</t>
  </si>
  <si>
    <t>航空運輸業</t>
  </si>
  <si>
    <t>084</t>
  </si>
  <si>
    <t>機械器具設置工事業</t>
  </si>
  <si>
    <t>0400</t>
  </si>
  <si>
    <t>47</t>
  </si>
  <si>
    <t>倉庫業</t>
  </si>
  <si>
    <t>089</t>
  </si>
  <si>
    <t>その他の設備工事業</t>
  </si>
  <si>
    <t>0409</t>
  </si>
  <si>
    <t>48</t>
  </si>
  <si>
    <t>運輸に附帯するサービス業</t>
  </si>
  <si>
    <t>090</t>
  </si>
  <si>
    <t>管理，補助的経済活動を行う事業所（09食料品製造業）</t>
  </si>
  <si>
    <t>0411</t>
  </si>
  <si>
    <t>魚類養殖業</t>
  </si>
  <si>
    <t>49</t>
  </si>
  <si>
    <t>郵便業（信書便事業を含む）</t>
  </si>
  <si>
    <t>091</t>
  </si>
  <si>
    <t>畜産食料品製造業</t>
  </si>
  <si>
    <t>0412</t>
  </si>
  <si>
    <t>貝類養殖業</t>
  </si>
  <si>
    <t>50</t>
  </si>
  <si>
    <t>各種商品卸売業</t>
  </si>
  <si>
    <t>092</t>
  </si>
  <si>
    <t>水産食料品製造業</t>
  </si>
  <si>
    <t>0413</t>
  </si>
  <si>
    <t>藻類養殖業</t>
  </si>
  <si>
    <t>51</t>
  </si>
  <si>
    <t>繊維・衣服等卸売業</t>
  </si>
  <si>
    <t>093</t>
  </si>
  <si>
    <t>野菜缶詰・果実缶詰・農産保存食料品製造業</t>
  </si>
  <si>
    <t>0414</t>
  </si>
  <si>
    <t>真珠養殖業</t>
  </si>
  <si>
    <t>52</t>
  </si>
  <si>
    <t>飲食料品卸売業</t>
  </si>
  <si>
    <t>094</t>
  </si>
  <si>
    <t>調味料製造業</t>
  </si>
  <si>
    <t>0415</t>
  </si>
  <si>
    <t>種苗養殖業</t>
  </si>
  <si>
    <t>53</t>
  </si>
  <si>
    <t>建築材料、鉱物・金属材料等卸売業</t>
  </si>
  <si>
    <t>095</t>
  </si>
  <si>
    <t>糖類製造業</t>
  </si>
  <si>
    <t>0419</t>
  </si>
  <si>
    <t>その他の海面養殖業</t>
  </si>
  <si>
    <t>54</t>
  </si>
  <si>
    <t>機械器具卸売業</t>
  </si>
  <si>
    <t>096</t>
  </si>
  <si>
    <t>精穀・製粉業</t>
  </si>
  <si>
    <t>0421</t>
  </si>
  <si>
    <t>55</t>
  </si>
  <si>
    <t>その他の卸売業</t>
  </si>
  <si>
    <t>097</t>
  </si>
  <si>
    <t>パン・菓子製造業</t>
  </si>
  <si>
    <t>0500</t>
  </si>
  <si>
    <t>56</t>
  </si>
  <si>
    <t>各種商品小売業</t>
  </si>
  <si>
    <t>098</t>
  </si>
  <si>
    <t>動植物油脂製造業</t>
  </si>
  <si>
    <t>0509</t>
  </si>
  <si>
    <t>57</t>
  </si>
  <si>
    <t>織物・衣服・身の回り品小売業</t>
  </si>
  <si>
    <t>099</t>
  </si>
  <si>
    <t>その他の食料品製造業</t>
  </si>
  <si>
    <t>0511</t>
  </si>
  <si>
    <t>金・銀鉱業</t>
  </si>
  <si>
    <t>58</t>
  </si>
  <si>
    <t>飲食料品小売業</t>
  </si>
  <si>
    <t>100</t>
  </si>
  <si>
    <t>管理，補助的経済活動を行う事業所（10飲料・たばこ・飼料製造業）</t>
  </si>
  <si>
    <t>0512</t>
  </si>
  <si>
    <t>鉛・亜鉛鉱業</t>
  </si>
  <si>
    <t>59</t>
  </si>
  <si>
    <t>機械器具小売業</t>
  </si>
  <si>
    <t>101</t>
  </si>
  <si>
    <t>清涼飲料製造業</t>
  </si>
  <si>
    <t>0513</t>
  </si>
  <si>
    <t>鉄鉱業</t>
  </si>
  <si>
    <t>60</t>
  </si>
  <si>
    <t>その他の小売業</t>
  </si>
  <si>
    <t>102</t>
  </si>
  <si>
    <t>酒類製造業</t>
  </si>
  <si>
    <t>0519</t>
  </si>
  <si>
    <t>その他の金属鉱業</t>
  </si>
  <si>
    <t>61</t>
  </si>
  <si>
    <t>無店舗小売業</t>
  </si>
  <si>
    <t>103</t>
  </si>
  <si>
    <t>茶・コーヒー製造業（清涼飲料を除く）</t>
  </si>
  <si>
    <t>0521</t>
  </si>
  <si>
    <t>石炭鉱業（石炭選別業を含む）</t>
  </si>
  <si>
    <t>62</t>
  </si>
  <si>
    <t>銀行業</t>
  </si>
  <si>
    <t>104</t>
  </si>
  <si>
    <t>製氷業</t>
  </si>
  <si>
    <t>0522</t>
  </si>
  <si>
    <t>亜炭鉱業</t>
  </si>
  <si>
    <t>63</t>
  </si>
  <si>
    <t>協同組織金融業</t>
  </si>
  <si>
    <t>105</t>
  </si>
  <si>
    <t>たばこ製造業</t>
  </si>
  <si>
    <t>0531</t>
  </si>
  <si>
    <t>原油鉱業</t>
  </si>
  <si>
    <t>64</t>
  </si>
  <si>
    <t>貸金業、クレジットカード業等非預金信用機関</t>
  </si>
  <si>
    <t>106</t>
  </si>
  <si>
    <t>飼料・有機質肥料製造業</t>
  </si>
  <si>
    <t>0532</t>
  </si>
  <si>
    <t>天然ガス鉱業</t>
  </si>
  <si>
    <t>65</t>
  </si>
  <si>
    <t>金融商品取引業、商品先物取引業</t>
  </si>
  <si>
    <t>110</t>
  </si>
  <si>
    <t>管理，補助的経済活動を行う事業所（11繊維工業）</t>
  </si>
  <si>
    <t>0541</t>
  </si>
  <si>
    <t>花こう岩・同類似岩石採石業</t>
  </si>
  <si>
    <t>66</t>
  </si>
  <si>
    <t>補助的金融業等</t>
  </si>
  <si>
    <t>111</t>
  </si>
  <si>
    <t>製糸業，紡績業，化学繊維・ねん糸等製造業</t>
  </si>
  <si>
    <t>0542</t>
  </si>
  <si>
    <t>石英粗面岩・同類似岩石採石業</t>
  </si>
  <si>
    <t>67</t>
  </si>
  <si>
    <t>保険業（保険媒介代理業、保険サービス業を含む）</t>
  </si>
  <si>
    <t>112</t>
  </si>
  <si>
    <t>織物業</t>
  </si>
  <si>
    <t>0543</t>
  </si>
  <si>
    <t>安山岩・同類似岩石採石業</t>
  </si>
  <si>
    <t>68</t>
  </si>
  <si>
    <t>不動産取引業</t>
  </si>
  <si>
    <t>113</t>
  </si>
  <si>
    <t>ニット生地製造業</t>
  </si>
  <si>
    <t>0544</t>
  </si>
  <si>
    <t>大理石採石業</t>
  </si>
  <si>
    <t>69</t>
  </si>
  <si>
    <t>不動産賃貸業・管理業</t>
  </si>
  <si>
    <t>114</t>
  </si>
  <si>
    <t>染色整理業</t>
  </si>
  <si>
    <t>0545</t>
  </si>
  <si>
    <t>ぎょう灰岩採石業</t>
  </si>
  <si>
    <t>70</t>
  </si>
  <si>
    <t>物品賃貸業</t>
  </si>
  <si>
    <t>115</t>
  </si>
  <si>
    <t>綱・網・レース・繊維粗製品製造業</t>
  </si>
  <si>
    <t>0546</t>
  </si>
  <si>
    <t>砂岩採石業</t>
  </si>
  <si>
    <t>71</t>
  </si>
  <si>
    <t>学術・開発研究機関</t>
  </si>
  <si>
    <t>116</t>
  </si>
  <si>
    <t>外衣・シャツ製造業（和式を除く）</t>
  </si>
  <si>
    <t>0547</t>
  </si>
  <si>
    <t>粘板岩採石業</t>
  </si>
  <si>
    <t>72</t>
  </si>
  <si>
    <t>専門サービス業（他に分類されないもの）</t>
  </si>
  <si>
    <t>117</t>
  </si>
  <si>
    <t>下着類製造業</t>
  </si>
  <si>
    <t>0548</t>
  </si>
  <si>
    <t>砂・砂利・玉石採取業</t>
  </si>
  <si>
    <t>73</t>
  </si>
  <si>
    <t>広告業</t>
  </si>
  <si>
    <t>118</t>
  </si>
  <si>
    <t>和装製品・その他の衣服・繊維製身の回り品製造業</t>
  </si>
  <si>
    <t>0549</t>
  </si>
  <si>
    <t>その他の採石業，砂・砂利・玉石採取業</t>
  </si>
  <si>
    <t>74</t>
  </si>
  <si>
    <t>技術サービス業（他に分類されないもの）</t>
  </si>
  <si>
    <t>119</t>
  </si>
  <si>
    <t>その他の繊維製品製造業</t>
  </si>
  <si>
    <t>0551</t>
  </si>
  <si>
    <t>耐火粘土鉱業</t>
  </si>
  <si>
    <t>75</t>
  </si>
  <si>
    <t>宿泊業</t>
    <phoneticPr fontId="16"/>
  </si>
  <si>
    <t>120</t>
  </si>
  <si>
    <t>管理，補助的経済活動を行う事業所（12木材・木製品製造業）</t>
  </si>
  <si>
    <t>0552</t>
  </si>
  <si>
    <t>ろう石鉱業</t>
  </si>
  <si>
    <t>76</t>
  </si>
  <si>
    <t>飲食店</t>
  </si>
  <si>
    <t>121</t>
  </si>
  <si>
    <t>製材業，木製品製造業</t>
  </si>
  <si>
    <t>0553</t>
  </si>
  <si>
    <t>ドロマイト鉱業</t>
  </si>
  <si>
    <t>77</t>
  </si>
  <si>
    <t>持ち帰り・配達飲食サービス業</t>
  </si>
  <si>
    <t>122</t>
  </si>
  <si>
    <t>造作材・合板・建築用組立材料製造業</t>
  </si>
  <si>
    <t>0554</t>
  </si>
  <si>
    <t>長石鉱業</t>
  </si>
  <si>
    <t>78</t>
  </si>
  <si>
    <t>洗濯・理容・美容・浴場業</t>
  </si>
  <si>
    <t>123</t>
  </si>
  <si>
    <t>木製容器製造業（竹，とうを含む）</t>
  </si>
  <si>
    <t>0555</t>
  </si>
  <si>
    <t>けい石鉱業</t>
  </si>
  <si>
    <t>79</t>
  </si>
  <si>
    <t>その他の生活関連サービス業</t>
  </si>
  <si>
    <t>129</t>
  </si>
  <si>
    <t>その他の木製品製造業(竹，とうを含む)</t>
  </si>
  <si>
    <t>0556</t>
  </si>
  <si>
    <t>天然けい砂鉱業</t>
  </si>
  <si>
    <t>80</t>
  </si>
  <si>
    <t>娯楽業</t>
  </si>
  <si>
    <t>130</t>
  </si>
  <si>
    <t>管理，補助的経済活動を行う事業所（13家具・装備品製造業）</t>
  </si>
  <si>
    <t>0557</t>
  </si>
  <si>
    <t>石灰石鉱業</t>
  </si>
  <si>
    <t>81</t>
  </si>
  <si>
    <t>学校教育</t>
  </si>
  <si>
    <t>131</t>
  </si>
  <si>
    <t>家具製造業</t>
  </si>
  <si>
    <t>0559</t>
  </si>
  <si>
    <t>その他の窯業原料用鉱物鉱業</t>
  </si>
  <si>
    <t>82</t>
  </si>
  <si>
    <t>その他の教育、学習支援業</t>
  </si>
  <si>
    <t>132</t>
  </si>
  <si>
    <t>宗教用具製造業</t>
  </si>
  <si>
    <t>0591</t>
  </si>
  <si>
    <t>酸性白土鉱業</t>
  </si>
  <si>
    <t>83</t>
  </si>
  <si>
    <t>医療業</t>
  </si>
  <si>
    <t>133</t>
  </si>
  <si>
    <t>建具製造業</t>
  </si>
  <si>
    <t>0592</t>
  </si>
  <si>
    <t>ベントナイト鉱業</t>
  </si>
  <si>
    <t>84</t>
  </si>
  <si>
    <t>保健衛生</t>
  </si>
  <si>
    <t>139</t>
  </si>
  <si>
    <t>その他の家具・装備品製造業</t>
  </si>
  <si>
    <t>0593</t>
  </si>
  <si>
    <t>けいそう土鉱業</t>
  </si>
  <si>
    <t>85</t>
  </si>
  <si>
    <t>社会保険・社会福祉・介護事業</t>
  </si>
  <si>
    <t>140</t>
  </si>
  <si>
    <t>管理，補助的経済活動を行う事業所（14パルプ・紙・紙加工品製造業）</t>
  </si>
  <si>
    <t>0594</t>
  </si>
  <si>
    <t>滑石鉱業</t>
  </si>
  <si>
    <t>86</t>
  </si>
  <si>
    <t>郵便局</t>
  </si>
  <si>
    <t>141</t>
  </si>
  <si>
    <t>パルプ製造業</t>
  </si>
  <si>
    <t>0599</t>
  </si>
  <si>
    <t>他に分類されない鉱業</t>
  </si>
  <si>
    <t>87</t>
  </si>
  <si>
    <t>協同組合（他に分類されないもの）</t>
  </si>
  <si>
    <t>142</t>
  </si>
  <si>
    <t>紙製造業</t>
  </si>
  <si>
    <t>0600</t>
  </si>
  <si>
    <t>88</t>
  </si>
  <si>
    <t>廃棄物処理業</t>
  </si>
  <si>
    <t>143</t>
  </si>
  <si>
    <t>加工紙製造業</t>
  </si>
  <si>
    <t>0609</t>
  </si>
  <si>
    <t>89</t>
  </si>
  <si>
    <t>自動車整備業</t>
  </si>
  <si>
    <t>144</t>
  </si>
  <si>
    <t>紙製品製造業</t>
  </si>
  <si>
    <t>0611</t>
  </si>
  <si>
    <t>90</t>
  </si>
  <si>
    <t>機械等修理業（別掲を除く）</t>
  </si>
  <si>
    <t>145</t>
  </si>
  <si>
    <t>紙製容器製造業</t>
  </si>
  <si>
    <t>0621</t>
  </si>
  <si>
    <t>土木工事業(別掲を除く)</t>
  </si>
  <si>
    <t>91</t>
  </si>
  <si>
    <t>職業紹介・労働者派遣業</t>
  </si>
  <si>
    <t>149</t>
  </si>
  <si>
    <t>その他のパルプ・紙・紙加工品製造業</t>
  </si>
  <si>
    <t>0622</t>
  </si>
  <si>
    <t>造園工事業</t>
  </si>
  <si>
    <t>92</t>
  </si>
  <si>
    <t>その他の事業サービス業</t>
  </si>
  <si>
    <t>150</t>
  </si>
  <si>
    <t>管理，補助的経済活動を行う事業所（15印刷・同関連業）</t>
  </si>
  <si>
    <t>0623</t>
  </si>
  <si>
    <t>しゅんせつ工事業</t>
  </si>
  <si>
    <t>93</t>
  </si>
  <si>
    <t>政治・経済・文化団体</t>
  </si>
  <si>
    <t>151</t>
  </si>
  <si>
    <t>印刷業</t>
  </si>
  <si>
    <t>0631</t>
  </si>
  <si>
    <t>94</t>
  </si>
  <si>
    <t>宗教</t>
  </si>
  <si>
    <t>152</t>
  </si>
  <si>
    <t>製版業</t>
  </si>
  <si>
    <t>0641</t>
  </si>
  <si>
    <t>95</t>
  </si>
  <si>
    <t>その他のサービス業</t>
  </si>
  <si>
    <t>153</t>
  </si>
  <si>
    <t>製本業，印刷物加工業</t>
  </si>
  <si>
    <t>0651</t>
  </si>
  <si>
    <t>96</t>
  </si>
  <si>
    <t>外国公務</t>
  </si>
  <si>
    <t>159</t>
  </si>
  <si>
    <t>印刷関連サービス業</t>
  </si>
  <si>
    <t>0661</t>
  </si>
  <si>
    <t>97</t>
  </si>
  <si>
    <t>国家公務</t>
  </si>
  <si>
    <t>160</t>
  </si>
  <si>
    <t>管理，補助的経済活動を行う事業所（16化学工業）</t>
  </si>
  <si>
    <t>0700</t>
  </si>
  <si>
    <t>98</t>
  </si>
  <si>
    <t>地方公務</t>
  </si>
  <si>
    <t>161</t>
  </si>
  <si>
    <t>化学肥料製造業</t>
  </si>
  <si>
    <t>0709</t>
  </si>
  <si>
    <t>99</t>
  </si>
  <si>
    <t>分類不能の産業</t>
  </si>
  <si>
    <t>162</t>
  </si>
  <si>
    <t>無機化学工業製品製造業</t>
  </si>
  <si>
    <t>0711</t>
  </si>
  <si>
    <t>大工工事業(型枠大工工事業を除く)</t>
  </si>
  <si>
    <t>163</t>
  </si>
  <si>
    <t>有機化学工業製品製造業</t>
  </si>
  <si>
    <t>0712</t>
  </si>
  <si>
    <t>型枠大工工事業</t>
  </si>
  <si>
    <t>164</t>
  </si>
  <si>
    <t>油脂加工製品・石けん・合成洗剤・界面活性剤・塗料製造業</t>
  </si>
  <si>
    <t>0721</t>
  </si>
  <si>
    <t>とび工事業</t>
  </si>
  <si>
    <t>165</t>
  </si>
  <si>
    <t>医薬品製造業</t>
  </si>
  <si>
    <t>0722</t>
  </si>
  <si>
    <t>土工・コンクリート工事業</t>
  </si>
  <si>
    <t>166</t>
  </si>
  <si>
    <t>化粧品・歯磨・その他の化粧用調整品製造業</t>
  </si>
  <si>
    <t>0723</t>
  </si>
  <si>
    <t>特殊コンクリート工事業</t>
  </si>
  <si>
    <t>169</t>
  </si>
  <si>
    <t>その他の化学工業</t>
  </si>
  <si>
    <t>0731</t>
  </si>
  <si>
    <t>鉄骨工事業</t>
  </si>
  <si>
    <t>170</t>
  </si>
  <si>
    <t>管理，補助的経済活動を行う事業所（17石油製品・石炭製品製造業）</t>
  </si>
  <si>
    <t>0732</t>
  </si>
  <si>
    <t>鉄筋工事業</t>
  </si>
  <si>
    <t>171</t>
  </si>
  <si>
    <t>石油精製業</t>
  </si>
  <si>
    <t>0741</t>
  </si>
  <si>
    <t>石工工事業</t>
  </si>
  <si>
    <t>172</t>
  </si>
  <si>
    <t>潤滑油・グリース製造業（石油精製業によらないもの）</t>
  </si>
  <si>
    <t>0742</t>
  </si>
  <si>
    <t>れんが工事業</t>
  </si>
  <si>
    <t>173</t>
  </si>
  <si>
    <t>コークス製造業</t>
  </si>
  <si>
    <t>0743</t>
  </si>
  <si>
    <t>タイル工事業</t>
  </si>
  <si>
    <t>174</t>
  </si>
  <si>
    <t>舗装材料製造業</t>
  </si>
  <si>
    <t>0744</t>
  </si>
  <si>
    <t>コンクリートブロック工事業</t>
  </si>
  <si>
    <t>179</t>
  </si>
  <si>
    <t>その他の石油製品・石炭製品製造業</t>
  </si>
  <si>
    <t>0751</t>
  </si>
  <si>
    <t>180</t>
  </si>
  <si>
    <t>管理，補助的経済活動を行う事業所（18プラスチック製品製造業）</t>
  </si>
  <si>
    <t>0761</t>
  </si>
  <si>
    <t>金属製屋根工事業</t>
  </si>
  <si>
    <t>181</t>
  </si>
  <si>
    <t>プラスチック板・棒・管・継手・異形押出製品製造業</t>
  </si>
  <si>
    <t>0762</t>
  </si>
  <si>
    <t>板金工事業</t>
  </si>
  <si>
    <t>182</t>
  </si>
  <si>
    <t>プラスチックフィルム・シート・床材・合成皮革製造業</t>
  </si>
  <si>
    <t>0763</t>
  </si>
  <si>
    <t>建築金物工事業</t>
  </si>
  <si>
    <t>183</t>
  </si>
  <si>
    <t>工業用プラスチック製品製造業</t>
  </si>
  <si>
    <t>0771</t>
  </si>
  <si>
    <t>塗装工事業（道路標示・区画線工事業を除く）</t>
  </si>
  <si>
    <t>184</t>
  </si>
  <si>
    <t>発泡・強化プラスチック製品製造業</t>
  </si>
  <si>
    <t>0772</t>
  </si>
  <si>
    <t>道路標示・区画線工事業</t>
  </si>
  <si>
    <t>185</t>
  </si>
  <si>
    <t>プラスチック成形材料製造業（廃プラスチックを含む）</t>
  </si>
  <si>
    <t>0781</t>
  </si>
  <si>
    <t>床工事業</t>
  </si>
  <si>
    <t>189</t>
  </si>
  <si>
    <t>その他のプラスチック製品製造業</t>
  </si>
  <si>
    <t>0782</t>
  </si>
  <si>
    <t>内装工事業</t>
  </si>
  <si>
    <t>190</t>
  </si>
  <si>
    <t>管理，補助的経済活動を行う事業所（19ゴム製品製造業）</t>
  </si>
  <si>
    <t>0791</t>
  </si>
  <si>
    <t>ガラス工事業</t>
  </si>
  <si>
    <t>191</t>
  </si>
  <si>
    <t>タイヤ・チューブ製造業</t>
  </si>
  <si>
    <t>0792</t>
  </si>
  <si>
    <t>金属製建具工事業</t>
  </si>
  <si>
    <t>192</t>
  </si>
  <si>
    <t>ゴム製・プラスチック製履物・同附属品製造業</t>
  </si>
  <si>
    <t>0793</t>
  </si>
  <si>
    <t>木製建具工事業</t>
  </si>
  <si>
    <t>193</t>
  </si>
  <si>
    <t>ゴムベルト・ゴムホース・工業用ゴム製品製造業</t>
  </si>
  <si>
    <t>0794</t>
  </si>
  <si>
    <t>屋根工事業（金属製屋根工事業を除く）</t>
  </si>
  <si>
    <t>199</t>
  </si>
  <si>
    <t>その他のゴム製品製造業</t>
  </si>
  <si>
    <t>0795</t>
  </si>
  <si>
    <t>防水工事業</t>
  </si>
  <si>
    <t>200</t>
  </si>
  <si>
    <t>管理，補助的経済活動を行う事業所（20なめし革・同製品・毛皮製造業）</t>
  </si>
  <si>
    <t>0796</t>
  </si>
  <si>
    <t>はつり・解体工事業</t>
  </si>
  <si>
    <t>201</t>
  </si>
  <si>
    <t>なめし革製造業</t>
  </si>
  <si>
    <t>0799</t>
  </si>
  <si>
    <t>他に分類されない職別工事業</t>
  </si>
  <si>
    <t>202</t>
  </si>
  <si>
    <t>工業用革製品製造業（手袋を除く）</t>
  </si>
  <si>
    <t>0800</t>
  </si>
  <si>
    <t>203</t>
  </si>
  <si>
    <t>革製履物用材料・同附属品製造業</t>
  </si>
  <si>
    <t>0809</t>
  </si>
  <si>
    <t>204</t>
  </si>
  <si>
    <t>革製履物製造業</t>
  </si>
  <si>
    <t>0811</t>
  </si>
  <si>
    <t>一般電気工事業</t>
  </si>
  <si>
    <t>205</t>
  </si>
  <si>
    <t>革製手袋製造業</t>
  </si>
  <si>
    <t>0812</t>
  </si>
  <si>
    <t>電気配線工事業</t>
  </si>
  <si>
    <t>206</t>
  </si>
  <si>
    <t>かばん製造業</t>
  </si>
  <si>
    <t>0821</t>
  </si>
  <si>
    <t>電気通信工事業（有線テレビジョン放送設備設置工事業を除く）</t>
  </si>
  <si>
    <t>207</t>
  </si>
  <si>
    <t>袋物製造業</t>
  </si>
  <si>
    <t>0822</t>
  </si>
  <si>
    <t>有線テレビジョン放送設備設置工事業</t>
  </si>
  <si>
    <t>208</t>
  </si>
  <si>
    <t>毛皮製造業</t>
  </si>
  <si>
    <t>0823</t>
  </si>
  <si>
    <t>信号装置工事業</t>
  </si>
  <si>
    <t>209</t>
  </si>
  <si>
    <t>その他のなめし革製品製造業</t>
  </si>
  <si>
    <t>0831</t>
  </si>
  <si>
    <t>一般管工事業</t>
  </si>
  <si>
    <t>210</t>
  </si>
  <si>
    <t>管理，補助的経済活動を行う事業所（21窯業・土石製品製造業）</t>
  </si>
  <si>
    <t>0832</t>
  </si>
  <si>
    <t>冷暖房設備工事業</t>
  </si>
  <si>
    <t>211</t>
  </si>
  <si>
    <t>ガラス・同製品製造業</t>
  </si>
  <si>
    <t>0833</t>
  </si>
  <si>
    <t>給排水・衛生設備工事業</t>
  </si>
  <si>
    <t>212</t>
  </si>
  <si>
    <t>セメント・同製品製造業</t>
  </si>
  <si>
    <t>0839</t>
  </si>
  <si>
    <t>その他の管工事業</t>
  </si>
  <si>
    <t>213</t>
  </si>
  <si>
    <t>建設用粘土製品製造業（陶磁器製を除く)</t>
  </si>
  <si>
    <t>0841</t>
  </si>
  <si>
    <t>機械器具設置工事業（昇降設備工事業を除く）</t>
  </si>
  <si>
    <t>214</t>
  </si>
  <si>
    <t>陶磁器・同関連製品製造業</t>
  </si>
  <si>
    <t>0842</t>
  </si>
  <si>
    <t>昇降設備工事業</t>
  </si>
  <si>
    <t>215</t>
  </si>
  <si>
    <t>耐火物製造業</t>
  </si>
  <si>
    <t>0891</t>
  </si>
  <si>
    <t>築炉工事業</t>
  </si>
  <si>
    <t>216</t>
  </si>
  <si>
    <t>炭素・黒鉛製品製造業</t>
  </si>
  <si>
    <t>0892</t>
  </si>
  <si>
    <t>熱絶縁工事業</t>
  </si>
  <si>
    <t>217</t>
  </si>
  <si>
    <t>研磨材・同製品製造業</t>
  </si>
  <si>
    <t>0893</t>
  </si>
  <si>
    <t>道路標識設置工事業</t>
  </si>
  <si>
    <t>218</t>
  </si>
  <si>
    <t>骨材・石工品等製造業</t>
  </si>
  <si>
    <t>0894</t>
  </si>
  <si>
    <t>さく井工事業</t>
  </si>
  <si>
    <t>219</t>
  </si>
  <si>
    <t>その他の窯業・土石製品製造業</t>
  </si>
  <si>
    <t>0900</t>
  </si>
  <si>
    <t>220</t>
  </si>
  <si>
    <t>管理，補助的経済活動を行う事業所（22鉄鋼業）</t>
  </si>
  <si>
    <t>0909</t>
  </si>
  <si>
    <t>221</t>
  </si>
  <si>
    <t>製鉄業</t>
  </si>
  <si>
    <t>0911</t>
  </si>
  <si>
    <t>部分肉・冷凍肉製造業</t>
  </si>
  <si>
    <t>222</t>
  </si>
  <si>
    <t>製鋼・製鋼圧延業</t>
  </si>
  <si>
    <t>0912</t>
  </si>
  <si>
    <t>肉加工品製造業</t>
  </si>
  <si>
    <t>223</t>
  </si>
  <si>
    <t>製鋼を行わない鋼材製造業（表面処理鋼材を除く）</t>
  </si>
  <si>
    <t>0913</t>
  </si>
  <si>
    <t>処理牛乳・乳飲料製造業</t>
  </si>
  <si>
    <t>224</t>
  </si>
  <si>
    <t>表面処理鋼材製造業</t>
  </si>
  <si>
    <t>0914</t>
  </si>
  <si>
    <t>乳製品製造業（処理牛乳，乳飲料を除く）</t>
  </si>
  <si>
    <t>225</t>
  </si>
  <si>
    <t>鉄素形材製造業</t>
  </si>
  <si>
    <t>0919</t>
  </si>
  <si>
    <t>その他の畜産食料品製造業</t>
  </si>
  <si>
    <t>229</t>
  </si>
  <si>
    <t>その他の鉄鋼業</t>
  </si>
  <si>
    <t>0921</t>
  </si>
  <si>
    <t>水産缶詰・瓶詰製造業</t>
  </si>
  <si>
    <t>230</t>
  </si>
  <si>
    <t>管理，補助的経済活動を行う事業所（23非鉄金属製造業）</t>
  </si>
  <si>
    <t>0922</t>
  </si>
  <si>
    <t>海藻加工業</t>
  </si>
  <si>
    <t>231</t>
  </si>
  <si>
    <t>非鉄金属第1次製錬・精製業</t>
  </si>
  <si>
    <t>0923</t>
  </si>
  <si>
    <t>水産練製品製造業</t>
  </si>
  <si>
    <t>232</t>
  </si>
  <si>
    <t>非鉄金属第2次製錬・精製業（非鉄金属合金製造業を含む）</t>
  </si>
  <si>
    <t>0924</t>
  </si>
  <si>
    <t>塩干・塩蔵品製造業</t>
  </si>
  <si>
    <t>233</t>
  </si>
  <si>
    <t>非鉄金属・同合金圧延業（抽伸，押出しを含む）</t>
  </si>
  <si>
    <t>0925</t>
  </si>
  <si>
    <t>冷凍水産物製造業</t>
  </si>
  <si>
    <t>234</t>
  </si>
  <si>
    <t>電線・ケーブル製造業</t>
  </si>
  <si>
    <t>0926</t>
  </si>
  <si>
    <t>冷凍水産食品製造業</t>
  </si>
  <si>
    <t>235</t>
  </si>
  <si>
    <t>非鉄金属素形材製造業</t>
  </si>
  <si>
    <t>0929</t>
  </si>
  <si>
    <t>その他の水産食料品製造業</t>
  </si>
  <si>
    <t>239</t>
  </si>
  <si>
    <t>その他の非鉄金属製造業</t>
  </si>
  <si>
    <t>0931</t>
  </si>
  <si>
    <t>野菜缶詰・果実缶詰・農産保存食料品製造業（野菜漬物を除く）</t>
  </si>
  <si>
    <t>240</t>
  </si>
  <si>
    <t>管理，補助的経済活動を行う事業所（24金属製品製造業）</t>
  </si>
  <si>
    <t>0932</t>
  </si>
  <si>
    <t>野菜漬物製造業（缶詰，瓶詰，つぼ詰を除く）</t>
  </si>
  <si>
    <t>241</t>
  </si>
  <si>
    <t>ブリキ缶・その他のめっき板等製品製造業</t>
  </si>
  <si>
    <t>0941</t>
  </si>
  <si>
    <t>味そ製造業</t>
  </si>
  <si>
    <t>242</t>
  </si>
  <si>
    <t>洋食器・刃物・手道具・金物類製造業</t>
  </si>
  <si>
    <t>0942</t>
  </si>
  <si>
    <t>しょう油・食用アミノ酸製造業</t>
  </si>
  <si>
    <t>243</t>
  </si>
  <si>
    <t>暖房・調理等装置,配管工事用附属品製造業</t>
  </si>
  <si>
    <t>0943</t>
  </si>
  <si>
    <t>ソース製造業</t>
  </si>
  <si>
    <t>244</t>
  </si>
  <si>
    <t>建設用・建築用金属製品製造業（製缶板金業を含む)</t>
  </si>
  <si>
    <t>0944</t>
  </si>
  <si>
    <t>食酢製造業</t>
  </si>
  <si>
    <t>245</t>
  </si>
  <si>
    <t>金属素形材製品製造業</t>
  </si>
  <si>
    <t>0949</t>
  </si>
  <si>
    <t>その他の調味料製造業</t>
  </si>
  <si>
    <t>246</t>
  </si>
  <si>
    <t>金属被覆・彫刻業，熱処理業（ほうろう鉄器を除く）</t>
  </si>
  <si>
    <t>0951</t>
  </si>
  <si>
    <t>砂糖製造業（砂糖精製業を除く）</t>
  </si>
  <si>
    <t>247</t>
  </si>
  <si>
    <t>金属線製品製造業（ねじ類を除く)</t>
  </si>
  <si>
    <t>0952</t>
  </si>
  <si>
    <t>砂糖精製業</t>
  </si>
  <si>
    <t>248</t>
  </si>
  <si>
    <t>ボルト・ナット・リベット・小ねじ・木ねじ等製造業</t>
  </si>
  <si>
    <t>0953</t>
  </si>
  <si>
    <t>ぶどう糖・水あめ・異性化糖製造業</t>
  </si>
  <si>
    <t>249</t>
  </si>
  <si>
    <t>その他の金属製品製造業</t>
  </si>
  <si>
    <t>0961</t>
  </si>
  <si>
    <t>精米・精麦業</t>
  </si>
  <si>
    <t>250</t>
  </si>
  <si>
    <t>管理，補助的経済活動を行う事業所（25はん用機械器具製造業）</t>
  </si>
  <si>
    <t>0962</t>
  </si>
  <si>
    <t>小麦粉製造業</t>
  </si>
  <si>
    <t>251</t>
  </si>
  <si>
    <t>ボイラ・原動機製造業</t>
  </si>
  <si>
    <t>0969</t>
  </si>
  <si>
    <t>その他の精穀・製粉業</t>
  </si>
  <si>
    <t>252</t>
  </si>
  <si>
    <t>ポンプ・圧縮機器製造業</t>
  </si>
  <si>
    <t>0971</t>
  </si>
  <si>
    <t>パン製造業</t>
  </si>
  <si>
    <t>253</t>
  </si>
  <si>
    <t>一般産業用機械・装置製造業</t>
  </si>
  <si>
    <t>0972</t>
  </si>
  <si>
    <t>生菓子製造業</t>
  </si>
  <si>
    <t>259</t>
  </si>
  <si>
    <t>その他のはん用機械・同部分品製造業</t>
  </si>
  <si>
    <t>0973</t>
  </si>
  <si>
    <t>ビスケット類・干菓子製造業</t>
  </si>
  <si>
    <t>260</t>
  </si>
  <si>
    <t>管理，補助的経済活動を行う事業所（26生産用機械器具製造業）</t>
  </si>
  <si>
    <t>0974</t>
  </si>
  <si>
    <t>米菓製造業</t>
  </si>
  <si>
    <t>261</t>
  </si>
  <si>
    <t>農業用機械製造業（農業用器具を除く）</t>
  </si>
  <si>
    <t>0979</t>
  </si>
  <si>
    <t>その他のパン・菓子製造業</t>
  </si>
  <si>
    <t>262</t>
  </si>
  <si>
    <t>建設機械・鉱山機械製造業</t>
  </si>
  <si>
    <t>0981</t>
  </si>
  <si>
    <t>動植物油脂製造業（食用油脂加工業を除く）</t>
  </si>
  <si>
    <t>263</t>
  </si>
  <si>
    <t>繊維機械製造業</t>
  </si>
  <si>
    <t>0982</t>
  </si>
  <si>
    <t>食用油脂加工業</t>
  </si>
  <si>
    <t>264</t>
  </si>
  <si>
    <t>生活関連産業用機械製造業</t>
  </si>
  <si>
    <t>0991</t>
  </si>
  <si>
    <t>でんぷん製造業</t>
  </si>
  <si>
    <t>265</t>
  </si>
  <si>
    <t>基礎素材産業用機械製造業</t>
  </si>
  <si>
    <t>0992</t>
  </si>
  <si>
    <t>めん類製造業</t>
  </si>
  <si>
    <t>266</t>
  </si>
  <si>
    <t>金属加工機械製造業</t>
  </si>
  <si>
    <t>0993</t>
  </si>
  <si>
    <t>豆腐・油揚製造業</t>
  </si>
  <si>
    <t>267</t>
  </si>
  <si>
    <t>半導体・フラットパネルディスプレイ製造装置製造業</t>
  </si>
  <si>
    <t>0994</t>
  </si>
  <si>
    <t>あん類製造業</t>
  </si>
  <si>
    <t>269</t>
  </si>
  <si>
    <t>その他の生産用機械・同部分品製造業</t>
  </si>
  <si>
    <t>0995</t>
  </si>
  <si>
    <t>冷凍調理食品製造業</t>
  </si>
  <si>
    <t>270</t>
  </si>
  <si>
    <t>管理，補助的経済活動を行う事業所（27業務用機械器具製造業）</t>
  </si>
  <si>
    <t>0996</t>
  </si>
  <si>
    <t>そう（惣）菜製造業</t>
  </si>
  <si>
    <t>271</t>
  </si>
  <si>
    <t>事務用機械器具製造業</t>
  </si>
  <si>
    <t>0997</t>
  </si>
  <si>
    <t>すし・弁当・調理パン製造業</t>
  </si>
  <si>
    <t>272</t>
  </si>
  <si>
    <t>サービス用・娯楽用機械器具製造業</t>
  </si>
  <si>
    <t>0998</t>
  </si>
  <si>
    <t>レトルト食品製造業</t>
  </si>
  <si>
    <t>273</t>
  </si>
  <si>
    <t>計量器・測定器・分析機器・試験機・測量機械器具・理化学機械器具製造業</t>
  </si>
  <si>
    <t>0999</t>
  </si>
  <si>
    <t>他に分類されない食料品製造業</t>
  </si>
  <si>
    <t>274</t>
  </si>
  <si>
    <t>医療用機械器具・医療用品製造業</t>
  </si>
  <si>
    <t>1000</t>
  </si>
  <si>
    <t>275</t>
  </si>
  <si>
    <t>光学機械器具・レンズ製造業</t>
  </si>
  <si>
    <t>1009</t>
  </si>
  <si>
    <t>276</t>
  </si>
  <si>
    <t>武器製造業</t>
  </si>
  <si>
    <t>1011</t>
  </si>
  <si>
    <t>280</t>
  </si>
  <si>
    <t>管理，補助的経済活動を行う事業所（28電子部品・デバイス・電子回路製造業）</t>
  </si>
  <si>
    <t>1021</t>
  </si>
  <si>
    <t>果実酒製造業</t>
  </si>
  <si>
    <t>281</t>
  </si>
  <si>
    <t>電子デバイス製造業</t>
  </si>
  <si>
    <t>1022</t>
  </si>
  <si>
    <t>ビール類製造業</t>
  </si>
  <si>
    <t>282</t>
  </si>
  <si>
    <t>電子部品製造業</t>
  </si>
  <si>
    <t>1023</t>
  </si>
  <si>
    <t>清酒製造業</t>
  </si>
  <si>
    <t>283</t>
  </si>
  <si>
    <t>記録メディア製造業</t>
  </si>
  <si>
    <t>1024</t>
  </si>
  <si>
    <t>蒸留酒・混成酒製造業</t>
  </si>
  <si>
    <t>284</t>
  </si>
  <si>
    <t>電子回路製造業</t>
  </si>
  <si>
    <t>1031</t>
  </si>
  <si>
    <t>製茶業</t>
  </si>
  <si>
    <t>285</t>
  </si>
  <si>
    <t>ユニット部品製造業</t>
  </si>
  <si>
    <t>1032</t>
  </si>
  <si>
    <t>コーヒー製造業</t>
  </si>
  <si>
    <t>289</t>
  </si>
  <si>
    <t>その他の電子部品・デバイス・電子回路製造業</t>
  </si>
  <si>
    <t>1041</t>
  </si>
  <si>
    <t>290</t>
  </si>
  <si>
    <t>管理，補助的経済活動を行う事業所（29電気機械器具製造業）</t>
  </si>
  <si>
    <t>1051</t>
  </si>
  <si>
    <t>たばこ製造業（葉たばこ処理業を除く)</t>
  </si>
  <si>
    <t>291</t>
  </si>
  <si>
    <t>発電用・送電用・配電用電気機械器具製造業</t>
  </si>
  <si>
    <t>1052</t>
  </si>
  <si>
    <t>葉たばこ処理業</t>
  </si>
  <si>
    <t>292</t>
  </si>
  <si>
    <t>産業用電気機械器具製造業</t>
  </si>
  <si>
    <t>1061</t>
  </si>
  <si>
    <t>配合飼料製造業</t>
  </si>
  <si>
    <t>293</t>
  </si>
  <si>
    <t>民生用電気機械器具製造業</t>
  </si>
  <si>
    <t>1062</t>
  </si>
  <si>
    <t>単体飼料製造業</t>
  </si>
  <si>
    <t>294</t>
  </si>
  <si>
    <t>電球・電気照明器具製造業</t>
  </si>
  <si>
    <t>1063</t>
  </si>
  <si>
    <t>有機質肥料製造業</t>
  </si>
  <si>
    <t>295</t>
  </si>
  <si>
    <t>電池製造業</t>
  </si>
  <si>
    <t>1100</t>
  </si>
  <si>
    <t>296</t>
  </si>
  <si>
    <t>電子応用装置製造業</t>
  </si>
  <si>
    <t>1109</t>
  </si>
  <si>
    <t>297</t>
  </si>
  <si>
    <t>電気計測器製造業</t>
  </si>
  <si>
    <t>1111</t>
  </si>
  <si>
    <t>製糸業</t>
  </si>
  <si>
    <t>299</t>
  </si>
  <si>
    <t>その他の電気機械器具製造業</t>
  </si>
  <si>
    <t>1112</t>
  </si>
  <si>
    <t>化学繊維製造業</t>
  </si>
  <si>
    <t>300</t>
  </si>
  <si>
    <t>管理，補助的経済活動を行う事業所（30情報通信機械器具製造業）</t>
  </si>
  <si>
    <t>1113</t>
  </si>
  <si>
    <t>炭素繊維製造業</t>
  </si>
  <si>
    <t>301</t>
  </si>
  <si>
    <t>通信機械器具・同関連機械器具製造業</t>
  </si>
  <si>
    <t>1114</t>
  </si>
  <si>
    <t>綿紡績業</t>
  </si>
  <si>
    <t>302</t>
  </si>
  <si>
    <t>映像・音響機械器具製造業</t>
  </si>
  <si>
    <t>1115</t>
  </si>
  <si>
    <t>化学繊維紡績業</t>
  </si>
  <si>
    <t>303</t>
  </si>
  <si>
    <t>電子計算機・同附属装置製造業</t>
  </si>
  <si>
    <t>1116</t>
  </si>
  <si>
    <t>毛紡績業</t>
  </si>
  <si>
    <t>310</t>
  </si>
  <si>
    <t>管理，補助的経済活動を行う事業所（31輸送用機械器具製造業）</t>
  </si>
  <si>
    <t>1117</t>
  </si>
  <si>
    <t>ねん糸製造業（かさ高加工糸を除く）</t>
  </si>
  <si>
    <t>311</t>
  </si>
  <si>
    <t>自動車・同附属品製造業</t>
  </si>
  <si>
    <t>1118</t>
  </si>
  <si>
    <t>かさ高加工糸製造業</t>
  </si>
  <si>
    <t>312</t>
  </si>
  <si>
    <t>鉄道車両・同部分品製造業</t>
  </si>
  <si>
    <t>1119</t>
  </si>
  <si>
    <t>その他の紡績業</t>
  </si>
  <si>
    <t>313</t>
  </si>
  <si>
    <t>船舶製造・修理業，舶用機関製造業</t>
  </si>
  <si>
    <t>1121</t>
  </si>
  <si>
    <t>綿・スフ織物業</t>
  </si>
  <si>
    <t>314</t>
  </si>
  <si>
    <t>航空機・同附属品製造業</t>
  </si>
  <si>
    <t>1122</t>
  </si>
  <si>
    <t>絹・人絹織物業</t>
  </si>
  <si>
    <t>315</t>
  </si>
  <si>
    <t>産業用運搬車両・同部分品・附属品製造業</t>
  </si>
  <si>
    <t>1123</t>
  </si>
  <si>
    <t>毛織物業</t>
  </si>
  <si>
    <t>319</t>
  </si>
  <si>
    <t>その他の輸送用機械器具製造業</t>
  </si>
  <si>
    <t>1124</t>
  </si>
  <si>
    <t>麻織物業</t>
  </si>
  <si>
    <t>320</t>
  </si>
  <si>
    <t>管理，補助的経済活動を行う事業所（32その他の製造業）</t>
  </si>
  <si>
    <t>1125</t>
  </si>
  <si>
    <t>細幅織物業</t>
  </si>
  <si>
    <t>321</t>
  </si>
  <si>
    <t>貴金属・宝石製品製造業</t>
  </si>
  <si>
    <t>1129</t>
  </si>
  <si>
    <t>その他の織物業</t>
  </si>
  <si>
    <t>322</t>
  </si>
  <si>
    <t>装身具・装飾品・ボタン・同関連品製造業（貴金属・宝石製を除く）</t>
  </si>
  <si>
    <t>1131</t>
  </si>
  <si>
    <t>丸編ニット生地製造業</t>
  </si>
  <si>
    <t>323</t>
  </si>
  <si>
    <t>時計・同部分品製造業</t>
  </si>
  <si>
    <t>1132</t>
  </si>
  <si>
    <t>たて編ニット生地製造業</t>
  </si>
  <si>
    <t>324</t>
  </si>
  <si>
    <t>楽器製造業</t>
  </si>
  <si>
    <t>1133</t>
  </si>
  <si>
    <t>横編ニット生地製造業</t>
  </si>
  <si>
    <t>325</t>
  </si>
  <si>
    <t>がん具・運動用具製造業</t>
  </si>
  <si>
    <t>1141</t>
  </si>
  <si>
    <t>綿・スフ・麻織物機械染色業</t>
  </si>
  <si>
    <t>326</t>
  </si>
  <si>
    <t>ペン・鉛筆・絵画用品・その他の事務用品製造業</t>
  </si>
  <si>
    <t>1142</t>
  </si>
  <si>
    <t>絹・人絹織物機械染色業</t>
  </si>
  <si>
    <t>327</t>
  </si>
  <si>
    <t>漆器製造業</t>
  </si>
  <si>
    <t>1143</t>
  </si>
  <si>
    <t>毛織物機械染色整理業</t>
  </si>
  <si>
    <t>328</t>
  </si>
  <si>
    <t>畳等生活雑貨製品製造業</t>
  </si>
  <si>
    <t>1144</t>
  </si>
  <si>
    <t>織物整理業</t>
  </si>
  <si>
    <t>329</t>
  </si>
  <si>
    <t>他に分類されない製造業</t>
  </si>
  <si>
    <t>1145</t>
  </si>
  <si>
    <t>織物手加工染色整理業</t>
  </si>
  <si>
    <t>330</t>
  </si>
  <si>
    <t>管理，補助的経済活動を行う事業所（33電気業）</t>
  </si>
  <si>
    <t>1146</t>
  </si>
  <si>
    <t>綿状繊維・糸染色整理業</t>
  </si>
  <si>
    <t>331</t>
  </si>
  <si>
    <t>1147</t>
  </si>
  <si>
    <t>ニット・レース染色整理業</t>
  </si>
  <si>
    <t>340</t>
  </si>
  <si>
    <t>管理，補助的経済活動を行う事業所（34ガス業）</t>
  </si>
  <si>
    <t>1148</t>
  </si>
  <si>
    <t>繊維雑品染色整理業</t>
  </si>
  <si>
    <t>341</t>
  </si>
  <si>
    <t>1151</t>
  </si>
  <si>
    <t>綱製造業</t>
  </si>
  <si>
    <t>350</t>
  </si>
  <si>
    <t>管理，補助的経済活動を行う事業所（35熱供給業）</t>
  </si>
  <si>
    <t>1152</t>
  </si>
  <si>
    <t>漁網製造業</t>
  </si>
  <si>
    <t>351</t>
  </si>
  <si>
    <t>1153</t>
  </si>
  <si>
    <t>網地製造業（漁網を除く）</t>
  </si>
  <si>
    <t>360</t>
  </si>
  <si>
    <t>管理，補助的経済活動を行う事業所（36水道業）</t>
  </si>
  <si>
    <t>1154</t>
  </si>
  <si>
    <t>レース製造業</t>
  </si>
  <si>
    <t>361</t>
  </si>
  <si>
    <t>上水道業</t>
  </si>
  <si>
    <t>1155</t>
  </si>
  <si>
    <t>組ひも製造業</t>
  </si>
  <si>
    <t>362</t>
  </si>
  <si>
    <t>工業用水道業</t>
  </si>
  <si>
    <t>1156</t>
  </si>
  <si>
    <t>整毛業</t>
  </si>
  <si>
    <t>363</t>
  </si>
  <si>
    <t>下水道業</t>
  </si>
  <si>
    <t>1157</t>
  </si>
  <si>
    <t>フェルト・不織布製造業</t>
  </si>
  <si>
    <t>370</t>
  </si>
  <si>
    <t>管理，補助的経済活動を行う事業所（37通信業）</t>
  </si>
  <si>
    <t>1158</t>
  </si>
  <si>
    <t>上塗りした織物・防水した織物製造業</t>
  </si>
  <si>
    <t>371</t>
  </si>
  <si>
    <t>固定電気通信業</t>
  </si>
  <si>
    <t>1159</t>
  </si>
  <si>
    <t>その他の繊維粗製品製造業</t>
  </si>
  <si>
    <t>372</t>
  </si>
  <si>
    <t>移動電気通信業</t>
  </si>
  <si>
    <t>1161</t>
  </si>
  <si>
    <t>織物製成人男子・少年服製造業（不織布製及びレース製を含む）</t>
  </si>
  <si>
    <t>373</t>
  </si>
  <si>
    <t>電気通信に附帯するサービス業</t>
  </si>
  <si>
    <t>1162</t>
  </si>
  <si>
    <t>織物製成人女子・少女服製造業（不織布製及びレース製を含む）</t>
  </si>
  <si>
    <t>380</t>
  </si>
  <si>
    <t>管理，補助的経済活動を行う事業所（38放送業）</t>
  </si>
  <si>
    <t>1163</t>
  </si>
  <si>
    <t>織物製乳幼児服製造業（不織布製及びレース製を含む）</t>
  </si>
  <si>
    <t>381</t>
  </si>
  <si>
    <t>公共放送業（有線放送業を除く）</t>
  </si>
  <si>
    <t>1164</t>
  </si>
  <si>
    <t>織物製シャツ製造業（不織布製及びレース製を含み、下着を除く）</t>
  </si>
  <si>
    <t>382</t>
  </si>
  <si>
    <t>民間放送業（有線放送業を除く）</t>
  </si>
  <si>
    <t>1165</t>
  </si>
  <si>
    <t>織物製事務用・作業用・衛生用・スポーツ用衣服・学校服製造業（不織布製及びレース製を含む）</t>
  </si>
  <si>
    <t>383</t>
  </si>
  <si>
    <t>有線放送業</t>
  </si>
  <si>
    <t>1166</t>
  </si>
  <si>
    <t>ニット製外衣製造業（アウターシャツ類，セーター類などを除く）</t>
  </si>
  <si>
    <t>390</t>
  </si>
  <si>
    <t>管理，補助的経済活動を行う事業所（39情報サービス業）</t>
  </si>
  <si>
    <t>1167</t>
  </si>
  <si>
    <t>ニット製アウターシャツ類製造業</t>
  </si>
  <si>
    <t>391</t>
  </si>
  <si>
    <t>ソフトウェア業</t>
  </si>
  <si>
    <t>1168</t>
  </si>
  <si>
    <t>セーター類製造業</t>
  </si>
  <si>
    <t>392</t>
  </si>
  <si>
    <t>情報処理・提供サービス業</t>
  </si>
  <si>
    <t>1169</t>
  </si>
  <si>
    <t>その他の外衣・シャツ製造業</t>
  </si>
  <si>
    <t>400</t>
  </si>
  <si>
    <t>管理，補助的経済活動を行う事業所（40インターネット附随サービス業）</t>
  </si>
  <si>
    <t>1171</t>
  </si>
  <si>
    <t>織物製下着製造業</t>
  </si>
  <si>
    <t>401</t>
  </si>
  <si>
    <t>1172</t>
  </si>
  <si>
    <t>ニット製下着製造業</t>
  </si>
  <si>
    <t>410</t>
  </si>
  <si>
    <t>管理，補助的経済活動を行う事業所（41映像・音声・文字情報制作業）</t>
  </si>
  <si>
    <t>1173</t>
  </si>
  <si>
    <t>織物製・ニット製寝着類製造業</t>
  </si>
  <si>
    <t>411</t>
  </si>
  <si>
    <t>映像情報制作・配給業</t>
  </si>
  <si>
    <t>1174</t>
  </si>
  <si>
    <t>補整着製造業</t>
  </si>
  <si>
    <t>412</t>
  </si>
  <si>
    <t>音声情報制作業</t>
  </si>
  <si>
    <t>1181</t>
  </si>
  <si>
    <t>和装製品製造業（足袋を含む）</t>
  </si>
  <si>
    <t>413</t>
  </si>
  <si>
    <t>新聞業</t>
  </si>
  <si>
    <t>1182</t>
  </si>
  <si>
    <t>ネクタイ製造業</t>
  </si>
  <si>
    <t>414</t>
  </si>
  <si>
    <t>出版業</t>
  </si>
  <si>
    <t>1183</t>
  </si>
  <si>
    <t>スカーフ・マフラー・ハンカチーフ製造業</t>
  </si>
  <si>
    <t>415</t>
  </si>
  <si>
    <t>広告制作業</t>
  </si>
  <si>
    <t>1184</t>
  </si>
  <si>
    <t>靴下製造業</t>
  </si>
  <si>
    <t>416</t>
  </si>
  <si>
    <t>映像・音声・文字情報制作に附帯するサービス業</t>
  </si>
  <si>
    <t>1185</t>
  </si>
  <si>
    <t>手袋製造業</t>
  </si>
  <si>
    <t>420</t>
  </si>
  <si>
    <t>管理，補助的経済活動を行う事業所（42鉄道業）</t>
  </si>
  <si>
    <t>1186</t>
  </si>
  <si>
    <t>帽子製造業（帽体を含む）</t>
  </si>
  <si>
    <t>421</t>
  </si>
  <si>
    <t>1189</t>
  </si>
  <si>
    <t>他に分類されない衣服・繊維製身の回り品製造業</t>
  </si>
  <si>
    <t>430</t>
  </si>
  <si>
    <t>管理，補助的経済活動を行う事業所（43道路旅客運送業）</t>
  </si>
  <si>
    <t>1191</t>
  </si>
  <si>
    <t>寝具製造業</t>
  </si>
  <si>
    <t>431</t>
  </si>
  <si>
    <t>一般乗合旅客自動車運送業</t>
  </si>
  <si>
    <t>1192</t>
  </si>
  <si>
    <t>毛布製造業</t>
  </si>
  <si>
    <t>432</t>
  </si>
  <si>
    <t>一般乗用旅客自動車運送業</t>
  </si>
  <si>
    <t>1193</t>
  </si>
  <si>
    <t>じゅうたん・その他の繊維製床敷物製造業</t>
  </si>
  <si>
    <t>433</t>
  </si>
  <si>
    <t>一般貸切旅客自動車運送業</t>
  </si>
  <si>
    <t>1194</t>
  </si>
  <si>
    <t>帆布製品製造業</t>
  </si>
  <si>
    <t>439</t>
  </si>
  <si>
    <t>その他の道路旅客運送業</t>
  </si>
  <si>
    <t>1195</t>
  </si>
  <si>
    <t>繊維製袋製造業</t>
  </si>
  <si>
    <t>440</t>
  </si>
  <si>
    <t>管理，補助的経済活動を行う事業所（44道路貨物運送業）</t>
  </si>
  <si>
    <t>1196</t>
  </si>
  <si>
    <t>刺しゅう業</t>
  </si>
  <si>
    <t>441</t>
  </si>
  <si>
    <t>一般貨物自動車運送業</t>
  </si>
  <si>
    <t>1197</t>
  </si>
  <si>
    <t>タオル製造業</t>
  </si>
  <si>
    <t>442</t>
  </si>
  <si>
    <t>特定貨物自動車運送業</t>
  </si>
  <si>
    <t>1198</t>
  </si>
  <si>
    <t>繊維製衛生材料製造業</t>
  </si>
  <si>
    <t>443</t>
  </si>
  <si>
    <t>貨物軽自動車運送業</t>
  </si>
  <si>
    <t>1199</t>
  </si>
  <si>
    <t>他に分類されない繊維製品製造業</t>
  </si>
  <si>
    <t>444</t>
  </si>
  <si>
    <t>集配利用運送業</t>
  </si>
  <si>
    <t>1200</t>
  </si>
  <si>
    <t>449</t>
  </si>
  <si>
    <t>その他の道路貨物運送業</t>
  </si>
  <si>
    <t>1209</t>
  </si>
  <si>
    <t>450</t>
  </si>
  <si>
    <t>管理，補助的経済活動を行う事業所（45水運業）</t>
  </si>
  <si>
    <t>1211</t>
  </si>
  <si>
    <t>一般製材業</t>
  </si>
  <si>
    <t>451</t>
  </si>
  <si>
    <t>外航海運業</t>
  </si>
  <si>
    <t>1212</t>
  </si>
  <si>
    <t>単板（ベニヤ）製造業</t>
  </si>
  <si>
    <t>452</t>
  </si>
  <si>
    <t>沿海海運業</t>
  </si>
  <si>
    <t>1213</t>
  </si>
  <si>
    <t>木材チップ製造業</t>
  </si>
  <si>
    <t>453</t>
  </si>
  <si>
    <t>内陸水運業</t>
  </si>
  <si>
    <t>1219</t>
  </si>
  <si>
    <t>その他の特殊製材業</t>
  </si>
  <si>
    <t>454</t>
  </si>
  <si>
    <t>船舶貸渡業</t>
  </si>
  <si>
    <t>1221</t>
  </si>
  <si>
    <t>造作材製造業（建具を除く）</t>
  </si>
  <si>
    <t>460</t>
  </si>
  <si>
    <t>管理，補助的経済活動を行う事業所（46航空運輸業）</t>
  </si>
  <si>
    <t>1222</t>
  </si>
  <si>
    <t>合板製造業</t>
  </si>
  <si>
    <t>461</t>
  </si>
  <si>
    <t>航空運送業</t>
  </si>
  <si>
    <t>1223</t>
  </si>
  <si>
    <t>集成材製造業</t>
  </si>
  <si>
    <t>462</t>
  </si>
  <si>
    <t>航空機使用業（航空運送業を除く）</t>
  </si>
  <si>
    <t>1224</t>
  </si>
  <si>
    <t>建築用木製組立材料製造業</t>
  </si>
  <si>
    <t>470</t>
  </si>
  <si>
    <t>管理，補助的経済活動を行う事業所（47倉庫業）</t>
  </si>
  <si>
    <t>1225</t>
  </si>
  <si>
    <t>パーティクルボード製造業</t>
  </si>
  <si>
    <t>471</t>
  </si>
  <si>
    <t>倉庫業（冷蔵倉庫業を除く）</t>
  </si>
  <si>
    <t>1226</t>
  </si>
  <si>
    <t>繊維板製造業</t>
  </si>
  <si>
    <t>472</t>
  </si>
  <si>
    <t>冷蔵倉庫業</t>
  </si>
  <si>
    <t>1227</t>
  </si>
  <si>
    <t>銘木製造業</t>
  </si>
  <si>
    <t>480</t>
  </si>
  <si>
    <t>管理，補助的経済活動を行う事業所（48運輸に附帯するサービス業）</t>
  </si>
  <si>
    <t>1228</t>
  </si>
  <si>
    <t>床板製造業</t>
    <rPh sb="0" eb="2">
      <t>ユカイタ</t>
    </rPh>
    <rPh sb="2" eb="5">
      <t>セイゾウギョウ</t>
    </rPh>
    <phoneticPr fontId="15"/>
  </si>
  <si>
    <t>481</t>
  </si>
  <si>
    <t>港湾運送業</t>
  </si>
  <si>
    <t>1231</t>
  </si>
  <si>
    <t>竹・とう・きりゅう等容器製造業</t>
  </si>
  <si>
    <t>482</t>
  </si>
  <si>
    <t>貨物運送取扱業（集配利用運送業を除く）</t>
  </si>
  <si>
    <t>1232</t>
  </si>
  <si>
    <t>木箱製造業</t>
  </si>
  <si>
    <t>483</t>
  </si>
  <si>
    <t>運送代理店</t>
  </si>
  <si>
    <t>1233</t>
  </si>
  <si>
    <t>たる・おけ製造業</t>
  </si>
  <si>
    <t>484</t>
  </si>
  <si>
    <t>こん包業</t>
  </si>
  <si>
    <t>1291</t>
  </si>
  <si>
    <t>木材薬品処理業</t>
  </si>
  <si>
    <t>485</t>
  </si>
  <si>
    <t>運輸施設提供業</t>
  </si>
  <si>
    <t>1292</t>
  </si>
  <si>
    <t>コルク加工基礎資材・コルク製品製造業</t>
  </si>
  <si>
    <t>489</t>
  </si>
  <si>
    <t>その他の運輸に附帯するサービス業</t>
  </si>
  <si>
    <t>1299</t>
  </si>
  <si>
    <t>他に分類されない木製品製造業(竹，とうを含む)</t>
  </si>
  <si>
    <t>490</t>
  </si>
  <si>
    <t>管理，補助的経済活動を行う事業所（49郵便業）</t>
  </si>
  <si>
    <t>1300</t>
  </si>
  <si>
    <t>491</t>
  </si>
  <si>
    <t>1309</t>
  </si>
  <si>
    <t>500</t>
  </si>
  <si>
    <t>管理，補助的経済活動を行う事業所（50各種商品卸売業）</t>
  </si>
  <si>
    <t>1311</t>
  </si>
  <si>
    <t>木製家具製造業（漆塗りを除く）</t>
  </si>
  <si>
    <t>501</t>
  </si>
  <si>
    <t>1312</t>
  </si>
  <si>
    <t>金属製家具製造業</t>
  </si>
  <si>
    <t>510</t>
  </si>
  <si>
    <t>管理，補助的経済活動を行う事業所（51繊維・衣服等卸売業）</t>
  </si>
  <si>
    <t>1313</t>
  </si>
  <si>
    <t>マットレス・組スプリング製造業</t>
  </si>
  <si>
    <t>511</t>
  </si>
  <si>
    <t>繊維品卸売業（衣服，身の回り品を除く）</t>
  </si>
  <si>
    <t>1321</t>
  </si>
  <si>
    <t>512</t>
  </si>
  <si>
    <t>衣服卸売業</t>
  </si>
  <si>
    <t>1331</t>
  </si>
  <si>
    <t>513</t>
  </si>
  <si>
    <t>身の回り品卸売業</t>
  </si>
  <si>
    <t>1391</t>
  </si>
  <si>
    <t>事務所用・店舗用装備品製造業</t>
  </si>
  <si>
    <t>520</t>
  </si>
  <si>
    <t>管理，補助的経済活動を行う事業所（52飲食料品卸売業）</t>
  </si>
  <si>
    <t>1392</t>
  </si>
  <si>
    <t>窓用・扉用日よけ，日本びょうぶ等製造業</t>
  </si>
  <si>
    <t>521</t>
  </si>
  <si>
    <t>農畜産物・水産物卸売業</t>
  </si>
  <si>
    <t>1393</t>
  </si>
  <si>
    <t>鏡縁・額縁製造業</t>
  </si>
  <si>
    <t>522</t>
  </si>
  <si>
    <t>食料・飲料卸売業</t>
  </si>
  <si>
    <t>1399</t>
  </si>
  <si>
    <t>他に分類されない家具・装備品製造業</t>
  </si>
  <si>
    <t>530</t>
  </si>
  <si>
    <t>管理，補助的経済活動を行う事業所（53建築材料，鉱物・金属材料等卸売業）</t>
  </si>
  <si>
    <t>1400</t>
  </si>
  <si>
    <t>531</t>
  </si>
  <si>
    <t>建築材料卸売業</t>
  </si>
  <si>
    <t>1409</t>
  </si>
  <si>
    <t>532</t>
  </si>
  <si>
    <t>化学製品卸売業</t>
  </si>
  <si>
    <t>1411</t>
  </si>
  <si>
    <t>533</t>
  </si>
  <si>
    <t>石油・鉱物卸売業</t>
  </si>
  <si>
    <t>1421</t>
  </si>
  <si>
    <t>洋紙製造業</t>
  </si>
  <si>
    <t>534</t>
  </si>
  <si>
    <t>鉄鋼製品卸売業</t>
  </si>
  <si>
    <t>1422</t>
  </si>
  <si>
    <t>板紙製造業</t>
  </si>
  <si>
    <t>535</t>
  </si>
  <si>
    <t>非鉄金属卸売業</t>
  </si>
  <si>
    <t>1423</t>
  </si>
  <si>
    <t>機械すき和紙製造業</t>
  </si>
  <si>
    <t>536</t>
  </si>
  <si>
    <t>再生資源卸売業</t>
  </si>
  <si>
    <t>1424</t>
  </si>
  <si>
    <t>手すき和紙製造業</t>
  </si>
  <si>
    <t>540</t>
  </si>
  <si>
    <t>管理，補助的経済活動を行う事業所（54機械器具卸売業）</t>
  </si>
  <si>
    <t>1431</t>
  </si>
  <si>
    <t>塗工紙製造業（印刷用紙を除く）</t>
  </si>
  <si>
    <t>541</t>
  </si>
  <si>
    <t>産業機械器具卸売業</t>
  </si>
  <si>
    <t>1432</t>
  </si>
  <si>
    <t>段ボール製造業</t>
  </si>
  <si>
    <t>542</t>
  </si>
  <si>
    <t>自動車卸売業</t>
  </si>
  <si>
    <t>1433</t>
  </si>
  <si>
    <t>壁紙・ふすま紙製造業</t>
  </si>
  <si>
    <t>543</t>
  </si>
  <si>
    <t>電気機械器具卸売業</t>
  </si>
  <si>
    <t>1441</t>
  </si>
  <si>
    <t>事務用・学用紙製品製造業</t>
  </si>
  <si>
    <t>549</t>
  </si>
  <si>
    <t>その他の機械器具卸売業</t>
  </si>
  <si>
    <t>1442</t>
  </si>
  <si>
    <t>日用紙製品製造業</t>
  </si>
  <si>
    <t>550</t>
  </si>
  <si>
    <t>管理，補助的経済活動を行う事業所（55その他の卸売業）</t>
  </si>
  <si>
    <t>1449</t>
  </si>
  <si>
    <t>その他の紙製品製造業</t>
  </si>
  <si>
    <t>551</t>
  </si>
  <si>
    <t>家具・建具・じゅう器等卸売業</t>
  </si>
  <si>
    <t>1451</t>
  </si>
  <si>
    <t>重包装紙袋製造業</t>
  </si>
  <si>
    <t>552</t>
  </si>
  <si>
    <t>医薬品・化粧品等卸売業</t>
  </si>
  <si>
    <t>1452</t>
  </si>
  <si>
    <t>角底紙袋製造業</t>
  </si>
  <si>
    <t>553</t>
  </si>
  <si>
    <t>紙・紙製品卸売業</t>
  </si>
  <si>
    <t>1453</t>
  </si>
  <si>
    <t>段ボール箱製造業</t>
  </si>
  <si>
    <t>559</t>
  </si>
  <si>
    <t>他に分類されない卸売業</t>
  </si>
  <si>
    <t>1454</t>
  </si>
  <si>
    <t>紙器製造業</t>
  </si>
  <si>
    <t>560</t>
  </si>
  <si>
    <t>管理，補助的経済活動を行う事業所（56各種商品小売業）</t>
  </si>
  <si>
    <t>1499</t>
  </si>
  <si>
    <t>561</t>
  </si>
  <si>
    <t>百貨店，総合スーパー</t>
  </si>
  <si>
    <t>1500</t>
  </si>
  <si>
    <t>569</t>
  </si>
  <si>
    <t>その他の各種商品小売業（従業者が常時50人未満のもの）</t>
  </si>
  <si>
    <t>1509</t>
  </si>
  <si>
    <t>570</t>
  </si>
  <si>
    <t>管理，補助的経済活動を行う事業所（57織物・衣服・身の回り品小売業）</t>
  </si>
  <si>
    <t>1511</t>
  </si>
  <si>
    <t>オフセット印刷業（紙に対するもの）</t>
  </si>
  <si>
    <t>571</t>
  </si>
  <si>
    <t>呉服・服地・寝具小売業</t>
  </si>
  <si>
    <t>1512</t>
  </si>
  <si>
    <t>オフセット印刷以外の印刷業（紙に対するもの）</t>
  </si>
  <si>
    <t>572</t>
  </si>
  <si>
    <t>男子服小売業</t>
  </si>
  <si>
    <t>1513</t>
  </si>
  <si>
    <t>紙以外の印刷業</t>
  </si>
  <si>
    <t>573</t>
  </si>
  <si>
    <t>婦人・子供服小売業</t>
  </si>
  <si>
    <t>1521</t>
  </si>
  <si>
    <t>574</t>
  </si>
  <si>
    <t>靴・履物小売業</t>
  </si>
  <si>
    <t>1531</t>
  </si>
  <si>
    <t>製本業</t>
  </si>
  <si>
    <t>579</t>
  </si>
  <si>
    <t>その他の織物・衣服・身の回り品小売業</t>
  </si>
  <si>
    <t>1532</t>
  </si>
  <si>
    <t>印刷物加工業</t>
  </si>
  <si>
    <t>580</t>
  </si>
  <si>
    <t>管理，補助的経済活動を行う事業所（58飲食料品小売業）</t>
  </si>
  <si>
    <t>1591</t>
  </si>
  <si>
    <t>581</t>
  </si>
  <si>
    <t>各種食料品小売業</t>
  </si>
  <si>
    <t>1600</t>
  </si>
  <si>
    <t>582</t>
  </si>
  <si>
    <t>野菜・果実小売業</t>
  </si>
  <si>
    <t>1609</t>
  </si>
  <si>
    <t>583</t>
  </si>
  <si>
    <t>食肉小売業</t>
  </si>
  <si>
    <t>1611</t>
  </si>
  <si>
    <t>窒素質・りん酸質肥料製造業</t>
  </si>
  <si>
    <t>584</t>
  </si>
  <si>
    <t>鮮魚小売業</t>
  </si>
  <si>
    <t>1612</t>
  </si>
  <si>
    <t>複合肥料製造業</t>
  </si>
  <si>
    <t>585</t>
  </si>
  <si>
    <t>酒小売業</t>
  </si>
  <si>
    <t>1619</t>
  </si>
  <si>
    <t>その他の化学肥料製造業</t>
  </si>
  <si>
    <t>586</t>
  </si>
  <si>
    <t>菓子・パン小売業</t>
  </si>
  <si>
    <t>1621</t>
  </si>
  <si>
    <t>ソーダ工業</t>
  </si>
  <si>
    <t>589</t>
  </si>
  <si>
    <t>その他の飲食料品小売業</t>
  </si>
  <si>
    <t>1622</t>
  </si>
  <si>
    <t>無機顔料製造業</t>
  </si>
  <si>
    <t>590</t>
  </si>
  <si>
    <t>管理，補助的経済活動を行う事業所（59機械器具小売業）</t>
  </si>
  <si>
    <t>1623</t>
  </si>
  <si>
    <t>圧縮ガス・液化ガス製造業</t>
  </si>
  <si>
    <t>591</t>
  </si>
  <si>
    <t>自動車小売業</t>
  </si>
  <si>
    <t>1624</t>
  </si>
  <si>
    <t>塩製造業</t>
  </si>
  <si>
    <t>592</t>
  </si>
  <si>
    <t>自転車小売業</t>
  </si>
  <si>
    <t>1629</t>
  </si>
  <si>
    <t>その他の無機化学工業製品製造業</t>
  </si>
  <si>
    <t>593</t>
  </si>
  <si>
    <t>機械器具小売業（自動車，自転車を除く）</t>
  </si>
  <si>
    <t>1631</t>
  </si>
  <si>
    <t>石油化学系基礎製品製造業（一貫して生産される誘導品を含む）</t>
  </si>
  <si>
    <t>600</t>
  </si>
  <si>
    <t>管理，補助的経済活動を行う事業所（60その他の小売業）</t>
  </si>
  <si>
    <t>1632</t>
  </si>
  <si>
    <t>脂肪族系中間物製造業（脂肪族系溶剤を含む）</t>
  </si>
  <si>
    <t>601</t>
  </si>
  <si>
    <t>家具・建具・畳小売業</t>
  </si>
  <si>
    <t>1633</t>
  </si>
  <si>
    <t>発酵工業</t>
  </si>
  <si>
    <t>602</t>
  </si>
  <si>
    <t>じゅう器小売業</t>
  </si>
  <si>
    <t>1634</t>
  </si>
  <si>
    <t>環式中間物・合成染料・有機顔料製造業</t>
  </si>
  <si>
    <t>603</t>
  </si>
  <si>
    <t>医薬品・化粧品小売業</t>
  </si>
  <si>
    <t>1635</t>
  </si>
  <si>
    <t>プラスチック製造業</t>
  </si>
  <si>
    <t>604</t>
  </si>
  <si>
    <t>農耕用品小売業</t>
  </si>
  <si>
    <t>1636</t>
  </si>
  <si>
    <t>合成ゴム製造業</t>
  </si>
  <si>
    <t>605</t>
  </si>
  <si>
    <t>燃料小売業</t>
  </si>
  <si>
    <t>1639</t>
  </si>
  <si>
    <t>その他の有機化学工業製品製造業</t>
  </si>
  <si>
    <t>606</t>
  </si>
  <si>
    <t>書籍・文房具小売業</t>
  </si>
  <si>
    <t>1641</t>
  </si>
  <si>
    <t>脂肪酸・硬化油・グリセリン製造業</t>
  </si>
  <si>
    <t>607</t>
  </si>
  <si>
    <t>スポーツ用品・がん具・娯楽用品・楽器小売業</t>
  </si>
  <si>
    <t>1642</t>
  </si>
  <si>
    <t>石けん・合成洗剤製造業</t>
  </si>
  <si>
    <t>608</t>
  </si>
  <si>
    <t>写真機・時計・眼鏡小売業</t>
  </si>
  <si>
    <t>1643</t>
  </si>
  <si>
    <t>界面活性剤製造業（石けん，合成洗剤を除く）</t>
  </si>
  <si>
    <t>609</t>
  </si>
  <si>
    <t>他に分類されない小売業</t>
  </si>
  <si>
    <t>1644</t>
  </si>
  <si>
    <t>塗料製造業</t>
  </si>
  <si>
    <t>610</t>
  </si>
  <si>
    <t>管理，補助的経済活動を行う事業所（61無店舗小売業）</t>
  </si>
  <si>
    <t>1645</t>
  </si>
  <si>
    <t>印刷インキ製造業</t>
  </si>
  <si>
    <t>611</t>
  </si>
  <si>
    <t>通信販売・訪問販売小売業</t>
  </si>
  <si>
    <t>1646</t>
  </si>
  <si>
    <t>洗浄剤・磨用剤製造業</t>
  </si>
  <si>
    <t>612</t>
  </si>
  <si>
    <t>自動販売機による小売業</t>
  </si>
  <si>
    <t>1647</t>
  </si>
  <si>
    <t>ろうそく製造業</t>
  </si>
  <si>
    <t>619</t>
  </si>
  <si>
    <t>その他の無店舗小売業</t>
  </si>
  <si>
    <t>1651</t>
  </si>
  <si>
    <t>医薬品原薬製造業</t>
  </si>
  <si>
    <t>620</t>
  </si>
  <si>
    <t>管理，補助的経済活動を行う事業所（62銀行業）</t>
  </si>
  <si>
    <t>1652</t>
  </si>
  <si>
    <t>医薬品製剤製造業</t>
  </si>
  <si>
    <t>621</t>
  </si>
  <si>
    <t>中央銀行</t>
  </si>
  <si>
    <t>1653</t>
  </si>
  <si>
    <t>生物学的製剤製造業</t>
  </si>
  <si>
    <t>622</t>
  </si>
  <si>
    <t>銀行（中央銀行を除く）</t>
  </si>
  <si>
    <t>1654</t>
  </si>
  <si>
    <t>生薬・漢方製剤製造業</t>
  </si>
  <si>
    <t>630</t>
  </si>
  <si>
    <t>管理，補助的経済活動を行う事業所（63協同組織金融業）</t>
  </si>
  <si>
    <t>1655</t>
  </si>
  <si>
    <t>動物用医薬品製造業</t>
  </si>
  <si>
    <t>631</t>
  </si>
  <si>
    <t>中小企業等金融業</t>
  </si>
  <si>
    <t>1661</t>
  </si>
  <si>
    <t>仕上用・皮膚用化粧品製造業（香水，オーデコロンを含む）</t>
  </si>
  <si>
    <t>632</t>
  </si>
  <si>
    <t>農林水産金融業</t>
  </si>
  <si>
    <t>1662</t>
  </si>
  <si>
    <t>頭髪用化粧品製造業</t>
  </si>
  <si>
    <t>640</t>
  </si>
  <si>
    <t>管理，補助的経済活動を行う事業所（64貸金業，クレジットカード業等非預金信用機関）</t>
  </si>
  <si>
    <t>1669</t>
  </si>
  <si>
    <t>その他の化粧品・歯磨・化粧用調整品製造業</t>
  </si>
  <si>
    <t>641</t>
  </si>
  <si>
    <t>貸金業</t>
  </si>
  <si>
    <t>1691</t>
  </si>
  <si>
    <t>火薬類製造業</t>
  </si>
  <si>
    <t>642</t>
  </si>
  <si>
    <t>質屋</t>
  </si>
  <si>
    <t>1692</t>
  </si>
  <si>
    <t>農薬製造業</t>
  </si>
  <si>
    <t>643</t>
  </si>
  <si>
    <t>クレジットカード業，割賦金融業</t>
  </si>
  <si>
    <t>1693</t>
  </si>
  <si>
    <t>香料製造業</t>
  </si>
  <si>
    <t>649</t>
  </si>
  <si>
    <t>その他の非預金信用機関</t>
  </si>
  <si>
    <t>1694</t>
  </si>
  <si>
    <t>ゼラチン・接着剤製造業</t>
  </si>
  <si>
    <t>650</t>
  </si>
  <si>
    <t>管理，補助的経済活動を行う事業所（65金融商品取引業，商品先物取引業）</t>
  </si>
  <si>
    <t>1695</t>
  </si>
  <si>
    <t>写真感光材料製造業</t>
  </si>
  <si>
    <t>651</t>
  </si>
  <si>
    <t>金融商品取引業</t>
  </si>
  <si>
    <t>1696</t>
  </si>
  <si>
    <t>天然樹脂製品・木材化学製品製造業</t>
  </si>
  <si>
    <t>652</t>
  </si>
  <si>
    <t>商品先物取引業，商品投資顧問業</t>
  </si>
  <si>
    <t>1697</t>
  </si>
  <si>
    <t>試薬製造業</t>
  </si>
  <si>
    <t>660</t>
  </si>
  <si>
    <t>管理，補助的経済活動を行う事業所（66補助的金融業等）</t>
  </si>
  <si>
    <t>1699</t>
  </si>
  <si>
    <t>他に分類されない化学工業製品製造業</t>
  </si>
  <si>
    <t>661</t>
  </si>
  <si>
    <t>補助的金融業，金融附帯業</t>
  </si>
  <si>
    <t>1700</t>
  </si>
  <si>
    <t>662</t>
  </si>
  <si>
    <t>信託業</t>
  </si>
  <si>
    <t>1709</t>
  </si>
  <si>
    <t>663</t>
  </si>
  <si>
    <t>金融代理業</t>
  </si>
  <si>
    <t>1711</t>
  </si>
  <si>
    <t>670</t>
  </si>
  <si>
    <t>管理，補助的経済活動を行う事業所（67保険業）</t>
  </si>
  <si>
    <t>1721</t>
  </si>
  <si>
    <t>671</t>
  </si>
  <si>
    <t>生命保険業</t>
  </si>
  <si>
    <t>1731</t>
  </si>
  <si>
    <t>672</t>
  </si>
  <si>
    <t>損害保険業</t>
  </si>
  <si>
    <t>1741</t>
  </si>
  <si>
    <t>673</t>
  </si>
  <si>
    <t>共済事業，少額短期保険業</t>
  </si>
  <si>
    <t>1799</t>
  </si>
  <si>
    <t>674</t>
  </si>
  <si>
    <t>保険媒介代理業</t>
  </si>
  <si>
    <t>1800</t>
  </si>
  <si>
    <t>675</t>
  </si>
  <si>
    <t>保険サービス業</t>
  </si>
  <si>
    <t>1809</t>
  </si>
  <si>
    <t>680</t>
  </si>
  <si>
    <t>管理，補助的経済活動を行う事業所（68不動産取引業）</t>
  </si>
  <si>
    <t>1811</t>
  </si>
  <si>
    <t>プラスチック板・棒製造業</t>
  </si>
  <si>
    <t>681</t>
  </si>
  <si>
    <t>建物売買業，土地売買業</t>
  </si>
  <si>
    <t>1812</t>
  </si>
  <si>
    <t>プラスチック管製造業</t>
  </si>
  <si>
    <t>682</t>
  </si>
  <si>
    <t>不動産代理業・仲介業</t>
  </si>
  <si>
    <t>1813</t>
  </si>
  <si>
    <t>プラスチック継手製造業</t>
  </si>
  <si>
    <t>690</t>
  </si>
  <si>
    <t>管理，補助的経済活動を行う事業所（69不動産賃貸業・管理業）</t>
  </si>
  <si>
    <t>1814</t>
  </si>
  <si>
    <t>プラスチック異形押出製品製造業</t>
  </si>
  <si>
    <t>691</t>
  </si>
  <si>
    <t>不動産賃貸業（貸家業，貸間業を除く）</t>
  </si>
  <si>
    <t>1815</t>
  </si>
  <si>
    <t>プラスチック板・棒・管・継手・異形押出製品加工業</t>
  </si>
  <si>
    <t>692</t>
  </si>
  <si>
    <t>貸家業，貸間業</t>
  </si>
  <si>
    <t>1821</t>
  </si>
  <si>
    <t>プラスチックフィルム製造業</t>
  </si>
  <si>
    <t>693</t>
  </si>
  <si>
    <t>駐車場業</t>
  </si>
  <si>
    <t>1822</t>
  </si>
  <si>
    <t>プラスチックシート製造業</t>
  </si>
  <si>
    <t>694</t>
  </si>
  <si>
    <t>不動産管理業</t>
  </si>
  <si>
    <t>1823</t>
  </si>
  <si>
    <t>プラスチック床材製造業</t>
  </si>
  <si>
    <t>700</t>
  </si>
  <si>
    <t>管理，補助的経済活動を行う事業所（70物品賃貸業）</t>
  </si>
  <si>
    <t>1824</t>
  </si>
  <si>
    <t>合成皮革製造業</t>
  </si>
  <si>
    <t>701</t>
  </si>
  <si>
    <t>各種物品賃貸業</t>
  </si>
  <si>
    <t>1825</t>
  </si>
  <si>
    <t>プラスチックフィルム・シート・床材・合成皮革加工業</t>
  </si>
  <si>
    <t>702</t>
  </si>
  <si>
    <t>産業用機械器具賃貸業</t>
  </si>
  <si>
    <t>1831</t>
  </si>
  <si>
    <t>電気機械器具用プラスチック製品製造業（加工業を除く）</t>
  </si>
  <si>
    <t>703</t>
  </si>
  <si>
    <t>事務用機械器具賃貸業</t>
  </si>
  <si>
    <t>1832</t>
  </si>
  <si>
    <t>輸送機械器具用プラスチック製品製造業（加工業を除く）</t>
  </si>
  <si>
    <t>704</t>
  </si>
  <si>
    <t>自動車賃貸業</t>
  </si>
  <si>
    <t>1833</t>
  </si>
  <si>
    <t>その他の工業用プラスチック製品製造業（加工業を除く）</t>
  </si>
  <si>
    <t>705</t>
  </si>
  <si>
    <t>スポーツ・娯楽用品賃貸業</t>
  </si>
  <si>
    <t>1834</t>
  </si>
  <si>
    <t>工業用プラスチック製品加工業</t>
  </si>
  <si>
    <t>709</t>
  </si>
  <si>
    <t>その他の物品賃貸業</t>
  </si>
  <si>
    <t>1841</t>
  </si>
  <si>
    <t>軟質プラスチック発泡製品製造業（半硬質性を含む）</t>
  </si>
  <si>
    <t>710</t>
  </si>
  <si>
    <t>管理，補助的経済活動を行う事業所（71学術・開発研究機関）</t>
  </si>
  <si>
    <t>1842</t>
  </si>
  <si>
    <t>硬質プラスチック発泡製品製造業</t>
  </si>
  <si>
    <t>711</t>
  </si>
  <si>
    <t>自然科学研究所</t>
  </si>
  <si>
    <t>1843</t>
  </si>
  <si>
    <t>強化プラスチック製板・棒・管・継手製造業</t>
  </si>
  <si>
    <t>712</t>
  </si>
  <si>
    <t>人文・社会科学研究所</t>
  </si>
  <si>
    <t>1844</t>
  </si>
  <si>
    <t>強化プラスチック製容器・浴槽等製造業</t>
  </si>
  <si>
    <t>720</t>
  </si>
  <si>
    <t>管理，補助的経済活動を行う事業所（72専門サービス業）</t>
  </si>
  <si>
    <t>1845</t>
  </si>
  <si>
    <t>発泡・強化プラスチック製品加工業</t>
  </si>
  <si>
    <t>721</t>
  </si>
  <si>
    <t>法律事務所，特許事務所</t>
  </si>
  <si>
    <t>1851</t>
  </si>
  <si>
    <t>プラスチック成形材料製造業</t>
  </si>
  <si>
    <t>722</t>
  </si>
  <si>
    <t>公証人役場，司法書士事務所，土地家屋調査士事務所</t>
  </si>
  <si>
    <t>1852</t>
  </si>
  <si>
    <t>廃プラスチック製品製造業</t>
  </si>
  <si>
    <t>723</t>
  </si>
  <si>
    <t>行政書士事務所</t>
  </si>
  <si>
    <t>1891</t>
  </si>
  <si>
    <t>プラスチック製日用雑貨・食卓用品製造業</t>
  </si>
  <si>
    <t>724</t>
  </si>
  <si>
    <t>公認会計士事務所，税理士事務所</t>
  </si>
  <si>
    <t>1892</t>
  </si>
  <si>
    <t>プラスチック製容器製造業</t>
  </si>
  <si>
    <t>725</t>
  </si>
  <si>
    <t>社会保険労務士事務所</t>
  </si>
  <si>
    <t>1897</t>
  </si>
  <si>
    <t>他に分類されないプラスチック製品製造業</t>
  </si>
  <si>
    <t>726</t>
  </si>
  <si>
    <t>デザイン業</t>
  </si>
  <si>
    <t>1898</t>
  </si>
  <si>
    <t>他に分類されないプラスチック製品加工業</t>
  </si>
  <si>
    <t>727</t>
  </si>
  <si>
    <t>著述・芸術家業</t>
  </si>
  <si>
    <t>1900</t>
  </si>
  <si>
    <t>728</t>
  </si>
  <si>
    <t>経営コンサルタント業，純粋持株会社</t>
  </si>
  <si>
    <t>1909</t>
  </si>
  <si>
    <t>729</t>
  </si>
  <si>
    <t>その他の専門サービス業</t>
  </si>
  <si>
    <t>1911</t>
  </si>
  <si>
    <t>自動車タイヤ・チューブ製造業</t>
  </si>
  <si>
    <t>730</t>
  </si>
  <si>
    <t>管理，補助的経済活動を行う事業所（73広告業）</t>
  </si>
  <si>
    <t>1919</t>
  </si>
  <si>
    <t>その他のタイヤ・チューブ製造業</t>
  </si>
  <si>
    <t>731</t>
  </si>
  <si>
    <t>1921</t>
  </si>
  <si>
    <t>ゴム製履物・同附属品製造業</t>
  </si>
  <si>
    <t>740</t>
  </si>
  <si>
    <t>管理，補助的経済活動を行う事業所（74技術サービス業）</t>
  </si>
  <si>
    <t>1922</t>
  </si>
  <si>
    <t>プラスチック製履物・同附属品製造業</t>
  </si>
  <si>
    <t>741</t>
  </si>
  <si>
    <t>獣医業</t>
  </si>
  <si>
    <t>1931</t>
  </si>
  <si>
    <t>ゴムベルト製造業</t>
  </si>
  <si>
    <t>742</t>
  </si>
  <si>
    <t>土木建築サービス業</t>
  </si>
  <si>
    <t>1932</t>
  </si>
  <si>
    <t>ゴムホース製造業</t>
  </si>
  <si>
    <t>743</t>
  </si>
  <si>
    <t>機械設計業</t>
  </si>
  <si>
    <t>1933</t>
  </si>
  <si>
    <t>工業用ゴム製品製造業</t>
  </si>
  <si>
    <t>744</t>
  </si>
  <si>
    <t>商品・非破壊検査業</t>
  </si>
  <si>
    <t>1991</t>
  </si>
  <si>
    <t>ゴム引布・同製品製造業</t>
  </si>
  <si>
    <t>745</t>
  </si>
  <si>
    <t>計量証明業</t>
  </si>
  <si>
    <t>1992</t>
  </si>
  <si>
    <t>医療・衛生用ゴム製品製造業</t>
  </si>
  <si>
    <t>746</t>
  </si>
  <si>
    <t>写真業</t>
  </si>
  <si>
    <t>1993</t>
  </si>
  <si>
    <t>ゴム練生地製造業</t>
  </si>
  <si>
    <t>749</t>
  </si>
  <si>
    <t>その他の技術サービス業</t>
  </si>
  <si>
    <t>1994</t>
  </si>
  <si>
    <t>更生タイヤ製造業</t>
  </si>
  <si>
    <t>750</t>
  </si>
  <si>
    <t>管理，補助的経済活動を行う事業所（75宿泊業）</t>
  </si>
  <si>
    <t>1995</t>
  </si>
  <si>
    <t>再生ゴム製造業</t>
  </si>
  <si>
    <t>751</t>
  </si>
  <si>
    <t>旅館，ホテル</t>
  </si>
  <si>
    <t>1999</t>
  </si>
  <si>
    <t>他に分類されないゴム製品製造業</t>
  </si>
  <si>
    <t>752</t>
  </si>
  <si>
    <t>簡易宿所</t>
  </si>
  <si>
    <t>2000</t>
  </si>
  <si>
    <t>753</t>
  </si>
  <si>
    <t>下宿業</t>
  </si>
  <si>
    <t>2009</t>
  </si>
  <si>
    <t>759</t>
  </si>
  <si>
    <t>その他の宿泊業</t>
  </si>
  <si>
    <t>2011</t>
  </si>
  <si>
    <t>760</t>
  </si>
  <si>
    <t>管理，補助的経済活動を行う事業所（76飲食店）</t>
  </si>
  <si>
    <t>2021</t>
  </si>
  <si>
    <t>761</t>
  </si>
  <si>
    <t>食堂，レストラン（専門料理店を除く）</t>
  </si>
  <si>
    <t>2031</t>
  </si>
  <si>
    <t>762</t>
  </si>
  <si>
    <t>専門料理店</t>
  </si>
  <si>
    <t>2041</t>
  </si>
  <si>
    <t>763</t>
  </si>
  <si>
    <t>そば・うどん店</t>
  </si>
  <si>
    <t>2051</t>
  </si>
  <si>
    <t>764</t>
  </si>
  <si>
    <t>すし店</t>
  </si>
  <si>
    <t>2061</t>
  </si>
  <si>
    <t>765</t>
  </si>
  <si>
    <t>酒場，ビヤホール</t>
  </si>
  <si>
    <t>2071</t>
  </si>
  <si>
    <t>袋物製造業（ハンドバッグを除く）</t>
  </si>
  <si>
    <t>766</t>
  </si>
  <si>
    <t>バー，キャバレー，ナイトクラブ</t>
  </si>
  <si>
    <t>2072</t>
  </si>
  <si>
    <t>ハンドバッグ製造業</t>
  </si>
  <si>
    <t>767</t>
  </si>
  <si>
    <t>喫茶店</t>
  </si>
  <si>
    <t>2081</t>
  </si>
  <si>
    <t>769</t>
  </si>
  <si>
    <t>その他の飲食店</t>
  </si>
  <si>
    <t>2099</t>
  </si>
  <si>
    <t>770</t>
  </si>
  <si>
    <t>管理，補助的経済活動を行う事業所（77持ち帰り・配達飲食サービス業）</t>
  </si>
  <si>
    <t>2100</t>
  </si>
  <si>
    <t>771</t>
  </si>
  <si>
    <t>持ち帰り飲食サービス業</t>
  </si>
  <si>
    <t>2109</t>
  </si>
  <si>
    <t>772</t>
  </si>
  <si>
    <t>配達飲食サービス業</t>
  </si>
  <si>
    <t>2111</t>
  </si>
  <si>
    <t>板ガラス製造業</t>
  </si>
  <si>
    <t>780</t>
  </si>
  <si>
    <t>管理，補助的経済活動を行う事業所（78洗濯・理容・美容・浴場業）</t>
  </si>
  <si>
    <t>2112</t>
  </si>
  <si>
    <t>板ガラス加工業</t>
  </si>
  <si>
    <t>781</t>
  </si>
  <si>
    <t>洗濯業</t>
  </si>
  <si>
    <t>2113</t>
  </si>
  <si>
    <t>ガラス製加工素材製造業</t>
  </si>
  <si>
    <t>782</t>
  </si>
  <si>
    <t>理容業</t>
  </si>
  <si>
    <t>2114</t>
  </si>
  <si>
    <t>ガラス容器製造業</t>
  </si>
  <si>
    <t>783</t>
  </si>
  <si>
    <t>美容業</t>
  </si>
  <si>
    <t>2115</t>
  </si>
  <si>
    <t>理化学用・医療用ガラス器具製造業</t>
  </si>
  <si>
    <t>784</t>
  </si>
  <si>
    <t>一般公衆浴場業</t>
  </si>
  <si>
    <t>2116</t>
  </si>
  <si>
    <t>卓上用・ちゅう房用ガラス器具製造業</t>
  </si>
  <si>
    <t>785</t>
  </si>
  <si>
    <t>その他の公衆浴場業</t>
  </si>
  <si>
    <t>2117</t>
  </si>
  <si>
    <t>ガラス繊維・同製品製造業</t>
  </si>
  <si>
    <t>789</t>
  </si>
  <si>
    <t>その他の洗濯・理容・美容・浴場業</t>
  </si>
  <si>
    <t>2119</t>
  </si>
  <si>
    <t>その他のガラス・同製品製造業</t>
  </si>
  <si>
    <t>790</t>
  </si>
  <si>
    <t>管理，補助的経済活動を行う事業所（79その他の生活関連サービス業）</t>
  </si>
  <si>
    <t>2121</t>
  </si>
  <si>
    <t>セメント製造業</t>
  </si>
  <si>
    <t>791</t>
  </si>
  <si>
    <t>旅行業</t>
  </si>
  <si>
    <t>2122</t>
  </si>
  <si>
    <t>生コンクリート製造業</t>
  </si>
  <si>
    <t>792</t>
  </si>
  <si>
    <t>家事サービス業</t>
  </si>
  <si>
    <t>2123</t>
  </si>
  <si>
    <t>コンクリート製品製造業</t>
  </si>
  <si>
    <t>793</t>
  </si>
  <si>
    <t>衣服裁縫修理業</t>
  </si>
  <si>
    <t>2129</t>
  </si>
  <si>
    <t>その他のセメント製品製造業</t>
  </si>
  <si>
    <t>794</t>
  </si>
  <si>
    <t>物品預り業</t>
  </si>
  <si>
    <t>2131</t>
  </si>
  <si>
    <t>粘土かわら製造業</t>
  </si>
  <si>
    <t>795</t>
  </si>
  <si>
    <t>火葬・墓地管理業</t>
  </si>
  <si>
    <t>2132</t>
  </si>
  <si>
    <t>普通れんが製造業</t>
  </si>
  <si>
    <t>796</t>
  </si>
  <si>
    <t>冠婚葬祭業</t>
  </si>
  <si>
    <t>2139</t>
  </si>
  <si>
    <t>その他の建設用粘土製品製造業</t>
  </si>
  <si>
    <t>799</t>
  </si>
  <si>
    <t>他に分類されない生活関連サービス業</t>
  </si>
  <si>
    <t>2141</t>
  </si>
  <si>
    <t>衛生陶器製造業</t>
  </si>
  <si>
    <t>800</t>
  </si>
  <si>
    <t>管理，補助的経済活動を行う事業所（80娯楽業）</t>
  </si>
  <si>
    <t>2142</t>
  </si>
  <si>
    <t>食卓用・ちゅう房用陶磁器製造業</t>
  </si>
  <si>
    <t>801</t>
  </si>
  <si>
    <t>映画館</t>
  </si>
  <si>
    <t>2143</t>
  </si>
  <si>
    <t>陶磁器製置物製造業</t>
  </si>
  <si>
    <t>802</t>
  </si>
  <si>
    <t>興行場（別掲を除く），興行団</t>
  </si>
  <si>
    <t>2144</t>
  </si>
  <si>
    <t>電気用陶磁器製造業</t>
  </si>
  <si>
    <t>803</t>
  </si>
  <si>
    <t>競輪・競馬等の競走場，競技団</t>
  </si>
  <si>
    <t>2145</t>
  </si>
  <si>
    <t>理化学用・工業用陶磁器製造業</t>
  </si>
  <si>
    <t>804</t>
  </si>
  <si>
    <t>スポーツ施設提供業</t>
  </si>
  <si>
    <t>2146</t>
  </si>
  <si>
    <t>陶磁器製タイル製造業</t>
  </si>
  <si>
    <t>805</t>
  </si>
  <si>
    <t>公園，遊園地</t>
  </si>
  <si>
    <t>2147</t>
  </si>
  <si>
    <t>陶磁器絵付業</t>
  </si>
  <si>
    <t>806</t>
  </si>
  <si>
    <t>遊戯場</t>
  </si>
  <si>
    <t>2148</t>
  </si>
  <si>
    <t>陶磁器用はい（坏）土製造業</t>
  </si>
  <si>
    <t>809</t>
  </si>
  <si>
    <t>その他の娯楽業</t>
  </si>
  <si>
    <t>2149</t>
  </si>
  <si>
    <t>その他の陶磁器・同関連製品製造業</t>
  </si>
  <si>
    <t>810</t>
  </si>
  <si>
    <t>管理，補助的経済活動を行う事業所（81学校教育）</t>
  </si>
  <si>
    <t>2151</t>
  </si>
  <si>
    <t>耐火れんが製造業</t>
  </si>
  <si>
    <t>811</t>
  </si>
  <si>
    <t>幼稚園</t>
  </si>
  <si>
    <t>2152</t>
  </si>
  <si>
    <t>不定形耐火物製造業</t>
  </si>
  <si>
    <t>812</t>
  </si>
  <si>
    <t>小学校</t>
  </si>
  <si>
    <t>2159</t>
  </si>
  <si>
    <t>その他の耐火物製造業</t>
  </si>
  <si>
    <t>813</t>
  </si>
  <si>
    <t>中学校</t>
  </si>
  <si>
    <t>2161</t>
  </si>
  <si>
    <t>炭素質電極製造業</t>
  </si>
  <si>
    <t>814</t>
  </si>
  <si>
    <t>高等学校，中等教育学校</t>
  </si>
  <si>
    <t>2169</t>
  </si>
  <si>
    <t>その他の炭素・黒鉛製品製造業</t>
  </si>
  <si>
    <t>815</t>
  </si>
  <si>
    <t>特別支援学校</t>
  </si>
  <si>
    <t>2171</t>
  </si>
  <si>
    <t>研磨材製造業</t>
  </si>
  <si>
    <t>816</t>
  </si>
  <si>
    <t>高等教育機関</t>
  </si>
  <si>
    <t>2172</t>
  </si>
  <si>
    <t>研削と石製造業</t>
  </si>
  <si>
    <t>817</t>
  </si>
  <si>
    <t>専修学校，各種学校</t>
  </si>
  <si>
    <t>2173</t>
  </si>
  <si>
    <t>研磨布紙製造業</t>
  </si>
  <si>
    <t>818</t>
  </si>
  <si>
    <t>学校教育支援機関</t>
  </si>
  <si>
    <t>2179</t>
  </si>
  <si>
    <t>その他の研磨材・同製品製造業</t>
  </si>
  <si>
    <t>819</t>
  </si>
  <si>
    <t>幼保連携型認定こども園</t>
  </si>
  <si>
    <t>2181</t>
  </si>
  <si>
    <t>砕石製造業</t>
  </si>
  <si>
    <t>820</t>
  </si>
  <si>
    <t>管理，補助的経済活動を行う事業所（82その他の教育，学習支援業）</t>
  </si>
  <si>
    <t>2182</t>
  </si>
  <si>
    <t>再生骨材製造業</t>
  </si>
  <si>
    <t>821</t>
  </si>
  <si>
    <t>社会教育</t>
  </si>
  <si>
    <t>2183</t>
  </si>
  <si>
    <t>人工骨材製造業</t>
  </si>
  <si>
    <t>822</t>
  </si>
  <si>
    <t>職業・教育支援施設</t>
  </si>
  <si>
    <t>2184</t>
  </si>
  <si>
    <t>石工品製造業</t>
  </si>
  <si>
    <t>823</t>
  </si>
  <si>
    <t>学習塾</t>
  </si>
  <si>
    <t>2185</t>
  </si>
  <si>
    <t>けいそう土・同製品製造業</t>
  </si>
  <si>
    <t>824</t>
  </si>
  <si>
    <t>教養・技能教授業</t>
  </si>
  <si>
    <t>2186</t>
  </si>
  <si>
    <t>鉱物・土石粉砕等処理業</t>
  </si>
  <si>
    <t>829</t>
  </si>
  <si>
    <t>他に分類されない教育，学習支援業</t>
  </si>
  <si>
    <t>2191</t>
  </si>
  <si>
    <t>ロックウール・同製品製造業</t>
  </si>
  <si>
    <t>830</t>
  </si>
  <si>
    <t>管理，補助的経済活動を行う事業所（83医療業）</t>
  </si>
  <si>
    <t>2192</t>
  </si>
  <si>
    <t>石こう（膏）製品製造業</t>
  </si>
  <si>
    <t>831</t>
  </si>
  <si>
    <t>病院</t>
  </si>
  <si>
    <t>2193</t>
  </si>
  <si>
    <t>石灰製造業</t>
  </si>
  <si>
    <t>832</t>
  </si>
  <si>
    <t>一般診療所</t>
  </si>
  <si>
    <t>2194</t>
  </si>
  <si>
    <t>鋳型製造業（中子を含む）</t>
  </si>
  <si>
    <t>833</t>
  </si>
  <si>
    <t>歯科診療所</t>
  </si>
  <si>
    <t>2199</t>
  </si>
  <si>
    <t>他に分類されない窯業・土石製品製造業</t>
  </si>
  <si>
    <t>834</t>
  </si>
  <si>
    <t>助産・看護業</t>
  </si>
  <si>
    <t>2200</t>
  </si>
  <si>
    <t>835</t>
  </si>
  <si>
    <t>療術業</t>
  </si>
  <si>
    <t>2209</t>
  </si>
  <si>
    <t>836</t>
  </si>
  <si>
    <t>医療に附帯するサービス業</t>
  </si>
  <si>
    <t>2211</t>
  </si>
  <si>
    <t>高炉による製鉄業</t>
  </si>
  <si>
    <t>840</t>
  </si>
  <si>
    <t>管理，補助的経済活動を行う事業所（84保健衛生）</t>
  </si>
  <si>
    <t>2212</t>
  </si>
  <si>
    <t>高炉によらない製鉄業</t>
  </si>
  <si>
    <t>841</t>
  </si>
  <si>
    <t>保健所</t>
  </si>
  <si>
    <t>2213</t>
  </si>
  <si>
    <t>フェロアロイ製造業</t>
  </si>
  <si>
    <t>842</t>
  </si>
  <si>
    <t>健康相談施設</t>
  </si>
  <si>
    <t>2221</t>
  </si>
  <si>
    <t>849</t>
  </si>
  <si>
    <t>その他の保健衛生</t>
  </si>
  <si>
    <t>2231</t>
  </si>
  <si>
    <t>熱間圧延業（鋼管，伸鉄を除く）</t>
  </si>
  <si>
    <t>850</t>
  </si>
  <si>
    <t>管理，補助的経済活動を行う事業所（85社会保険・社会福祉・介護事業）</t>
  </si>
  <si>
    <t>2232</t>
  </si>
  <si>
    <t>冷間圧延業（鋼管，伸鉄を除く）</t>
  </si>
  <si>
    <t>851</t>
  </si>
  <si>
    <t>社会保険事業団体</t>
  </si>
  <si>
    <t>2233</t>
  </si>
  <si>
    <t>冷間ロール成型形鋼製造業</t>
  </si>
  <si>
    <t>852</t>
  </si>
  <si>
    <t>福祉事務所</t>
  </si>
  <si>
    <t>2234</t>
  </si>
  <si>
    <t>鋼管製造業</t>
  </si>
  <si>
    <t>853</t>
  </si>
  <si>
    <t>児童福祉事業</t>
  </si>
  <si>
    <t>2235</t>
  </si>
  <si>
    <t>伸鉄業</t>
  </si>
  <si>
    <t>854</t>
  </si>
  <si>
    <t>老人福祉・介護事業</t>
  </si>
  <si>
    <t>2236</t>
  </si>
  <si>
    <t>磨棒鋼製造業</t>
  </si>
  <si>
    <t>855</t>
  </si>
  <si>
    <t>障害者福祉事業</t>
  </si>
  <si>
    <t>2237</t>
  </si>
  <si>
    <t>引抜鋼管製造業</t>
  </si>
  <si>
    <t>859</t>
  </si>
  <si>
    <t>その他の社会保険・社会福祉・介護事業</t>
  </si>
  <si>
    <t>2238</t>
  </si>
  <si>
    <t>伸線業</t>
  </si>
  <si>
    <t>860</t>
  </si>
  <si>
    <t>管理，補助的経済活動を行う事業所（86郵便局）</t>
  </si>
  <si>
    <t>2239</t>
  </si>
  <si>
    <t>その他の製鋼を行わない鋼材製造業（表面処理鋼材を除く)</t>
  </si>
  <si>
    <t>861</t>
  </si>
  <si>
    <t>2241</t>
  </si>
  <si>
    <t>亜鉛鉄板製造業</t>
  </si>
  <si>
    <t>862</t>
  </si>
  <si>
    <t>郵便局受託業</t>
  </si>
  <si>
    <t>2249</t>
  </si>
  <si>
    <t>その他の表面処理鋼材製造業</t>
  </si>
  <si>
    <t>870</t>
  </si>
  <si>
    <t>管理，補助的経済活動を行う事業所（87協同組合）</t>
  </si>
  <si>
    <t>2251</t>
  </si>
  <si>
    <t>銑鉄鋳物製造業（鋳鉄管，可鍛鋳鉄を除く）</t>
  </si>
  <si>
    <t>871</t>
  </si>
  <si>
    <t>農林水産業協同組合（他に分類されないもの）</t>
  </si>
  <si>
    <t>2252</t>
  </si>
  <si>
    <t>可鍛鋳鉄製造業</t>
  </si>
  <si>
    <t>872</t>
  </si>
  <si>
    <t>事業協同組合（他に分類されないもの）</t>
  </si>
  <si>
    <t>2253</t>
  </si>
  <si>
    <t>鋳鋼製造業</t>
  </si>
  <si>
    <t>880</t>
  </si>
  <si>
    <t>管理，補助的経済活動を行う事業所（88廃棄物処理業）</t>
  </si>
  <si>
    <t>2254</t>
  </si>
  <si>
    <t>鍛工品製造業</t>
  </si>
  <si>
    <t>881</t>
  </si>
  <si>
    <t>一般廃棄物処理業</t>
  </si>
  <si>
    <t>2255</t>
  </si>
  <si>
    <t>鍛鋼製造業</t>
  </si>
  <si>
    <t>882</t>
  </si>
  <si>
    <t>産業廃棄物処理業</t>
  </si>
  <si>
    <t>2291</t>
  </si>
  <si>
    <t>鉄鋼シャースリット業</t>
  </si>
  <si>
    <t>889</t>
  </si>
  <si>
    <t>その他の廃棄物処理業</t>
  </si>
  <si>
    <t>2292</t>
  </si>
  <si>
    <t>鉄スクラップ加工処理業</t>
  </si>
  <si>
    <t>890</t>
  </si>
  <si>
    <t>管理，補助的経済活動を行う事業所（89自動車整備業）</t>
  </si>
  <si>
    <t>2293</t>
  </si>
  <si>
    <t>鋳鉄管製造業</t>
  </si>
  <si>
    <t>891</t>
  </si>
  <si>
    <t>2299</t>
  </si>
  <si>
    <t>他に分類されない鉄鋼業</t>
  </si>
  <si>
    <t>900</t>
  </si>
  <si>
    <t>管理，補助的経済活動を行う事業所（90機械等修理業）</t>
  </si>
  <si>
    <t>2300</t>
  </si>
  <si>
    <t>901</t>
  </si>
  <si>
    <t>機械修理業（電気機械器具を除く）</t>
  </si>
  <si>
    <t>2309</t>
  </si>
  <si>
    <t>902</t>
  </si>
  <si>
    <t>電気機械器具修理業</t>
  </si>
  <si>
    <t>2311</t>
  </si>
  <si>
    <t>銅第１次製錬・精製業</t>
  </si>
  <si>
    <t>903</t>
  </si>
  <si>
    <t>表具業</t>
  </si>
  <si>
    <t>2312</t>
  </si>
  <si>
    <t>亜鉛第１次製錬・精製業</t>
  </si>
  <si>
    <t>909</t>
  </si>
  <si>
    <t>その他の修理業</t>
  </si>
  <si>
    <t>2319</t>
  </si>
  <si>
    <t>その他の非鉄金属第１次製錬・精製業</t>
  </si>
  <si>
    <t>910</t>
  </si>
  <si>
    <t>管理，補助的経済活動を行う事業所（91職業紹介・労働者派遣業）</t>
  </si>
  <si>
    <t>2321</t>
  </si>
  <si>
    <t>鉛第２次製錬・精製業（鉛合金製造業を含む)</t>
  </si>
  <si>
    <t>911</t>
  </si>
  <si>
    <t>職業紹介業</t>
  </si>
  <si>
    <t>2322</t>
  </si>
  <si>
    <t>アルミニウム第２次製錬・精製業（アルミニウム合金製造業を含む）</t>
  </si>
  <si>
    <t>912</t>
  </si>
  <si>
    <t>労働者派遣業</t>
  </si>
  <si>
    <t>2329</t>
  </si>
  <si>
    <t>その他の非鉄金属第２次製錬・精製業（非鉄金属合金製造業を含む）</t>
  </si>
  <si>
    <t>920</t>
  </si>
  <si>
    <t>管理，補助的経済活動を行う事業所（92その他の事業サービス業）</t>
  </si>
  <si>
    <t>2331</t>
  </si>
  <si>
    <t>伸銅品製造業</t>
  </si>
  <si>
    <t>921</t>
  </si>
  <si>
    <t>速記・ワープロ入力・複写業</t>
  </si>
  <si>
    <t>2332</t>
  </si>
  <si>
    <t>アルミニウム・同合金圧延業（抽伸，押出しを含む）</t>
  </si>
  <si>
    <t>922</t>
  </si>
  <si>
    <t>建物サービス業</t>
  </si>
  <si>
    <t>2339</t>
  </si>
  <si>
    <t>その他の非鉄金属・同合金圧延業（抽伸，押出しを含む）</t>
  </si>
  <si>
    <t>923</t>
  </si>
  <si>
    <t>警備業</t>
  </si>
  <si>
    <t>2341</t>
  </si>
  <si>
    <t>電線・ケーブル製造業（光ファイバケーブルを除く）</t>
  </si>
  <si>
    <t>929</t>
  </si>
  <si>
    <t>他に分類されない事業サービス業</t>
  </si>
  <si>
    <t>2342</t>
  </si>
  <si>
    <t>光ファイバケーブル製造業（通信複合ケーブルを含む）</t>
  </si>
  <si>
    <t>931</t>
  </si>
  <si>
    <t>経済団体</t>
  </si>
  <si>
    <t>2351</t>
  </si>
  <si>
    <t>銅・同合金鋳物製造業（ダイカストを除く）</t>
  </si>
  <si>
    <t>932</t>
  </si>
  <si>
    <t>労働団体</t>
  </si>
  <si>
    <t>2352</t>
  </si>
  <si>
    <t>非鉄金属鋳物製造業（銅・同合金鋳物及びダイカストを除く）</t>
  </si>
  <si>
    <t>933</t>
  </si>
  <si>
    <t>学術・文化団体</t>
  </si>
  <si>
    <t>2353</t>
  </si>
  <si>
    <t>アルミニウム・同合金ダイカスト製造業</t>
  </si>
  <si>
    <t>934</t>
  </si>
  <si>
    <t>政治団体</t>
  </si>
  <si>
    <t>2354</t>
  </si>
  <si>
    <t>非鉄金属ダイカスト製造業（アルミニウム・同合金ダイカストを除く）</t>
  </si>
  <si>
    <t>939</t>
  </si>
  <si>
    <t>他に分類されない非営利的団体</t>
  </si>
  <si>
    <t>2355</t>
  </si>
  <si>
    <t>非鉄金属鍛造品製造業</t>
  </si>
  <si>
    <t>941</t>
  </si>
  <si>
    <t>神道系宗教</t>
  </si>
  <si>
    <t>2391</t>
  </si>
  <si>
    <t>核燃料製造業</t>
  </si>
  <si>
    <t>942</t>
  </si>
  <si>
    <t>仏教系宗教</t>
  </si>
  <si>
    <t>2399</t>
  </si>
  <si>
    <t>他に分類されない非鉄金属製造業</t>
  </si>
  <si>
    <t>943</t>
  </si>
  <si>
    <t>キリスト教系宗教</t>
  </si>
  <si>
    <t>2400</t>
  </si>
  <si>
    <t>949</t>
  </si>
  <si>
    <t>その他の宗教</t>
  </si>
  <si>
    <t>2409</t>
  </si>
  <si>
    <t>950</t>
  </si>
  <si>
    <t>管理，補助的経済活動を行う事業所（95その他のサービス業）</t>
  </si>
  <si>
    <t>2411</t>
  </si>
  <si>
    <t>951</t>
  </si>
  <si>
    <t>集会場</t>
  </si>
  <si>
    <t>2421</t>
  </si>
  <si>
    <t>洋食器製造業</t>
  </si>
  <si>
    <t>952</t>
  </si>
  <si>
    <t>と畜場</t>
  </si>
  <si>
    <t>2422</t>
  </si>
  <si>
    <t>機械刃物製造業</t>
  </si>
  <si>
    <t>959</t>
  </si>
  <si>
    <t>他に分類されないサービス業</t>
  </si>
  <si>
    <t>2423</t>
  </si>
  <si>
    <t>利器工匠具・手道具製造業（やすり，のこぎり，食卓用刃物を除く）</t>
  </si>
  <si>
    <t>961</t>
  </si>
  <si>
    <t>外国公館</t>
  </si>
  <si>
    <t>2424</t>
  </si>
  <si>
    <t>作業工具製造業</t>
  </si>
  <si>
    <t>969</t>
  </si>
  <si>
    <t>その他の外国公務</t>
  </si>
  <si>
    <t>2425</t>
  </si>
  <si>
    <t>手引のこぎり・のこ刃製造業</t>
  </si>
  <si>
    <t>971</t>
  </si>
  <si>
    <t>立法機関</t>
  </si>
  <si>
    <t>2426</t>
  </si>
  <si>
    <t>農業用器具製造業（農業用機械を除く）</t>
  </si>
  <si>
    <t>972</t>
  </si>
  <si>
    <t>司法機関</t>
  </si>
  <si>
    <t>2429</t>
  </si>
  <si>
    <t>その他の金物類製造業</t>
  </si>
  <si>
    <t>973</t>
  </si>
  <si>
    <t>行政機関</t>
  </si>
  <si>
    <t>2431</t>
  </si>
  <si>
    <t>配管工事用附属品製造業（バルブ，コックを除く）</t>
  </si>
  <si>
    <t>981</t>
  </si>
  <si>
    <t>都道府県機関</t>
  </si>
  <si>
    <t>2432</t>
  </si>
  <si>
    <t>ガス機器・石油機器製造業</t>
  </si>
  <si>
    <t>982</t>
  </si>
  <si>
    <t>市町村機関</t>
  </si>
  <si>
    <t>2433</t>
  </si>
  <si>
    <t>温風・温水暖房装置製造業</t>
  </si>
  <si>
    <t>999</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</si>
  <si>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</si>
  <si>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</si>
  <si>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</si>
  <si>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</si>
  <si>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</si>
  <si>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</si>
  <si>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</si>
  <si>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</si>
  <si>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</si>
  <si>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</si>
  <si>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</si>
  <si>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</si>
  <si>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</si>
  <si>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</si>
  <si>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</si>
  <si>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</si>
  <si>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</si>
  <si>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</si>
  <si>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</si>
  <si>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</si>
  <si>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</si>
  <si>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</si>
  <si>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</si>
  <si>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</si>
  <si>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</si>
  <si>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</si>
  <si>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</si>
  <si>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</si>
  <si>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</si>
  <si>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</si>
  <si>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</si>
  <si>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</si>
  <si>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</si>
  <si>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</si>
  <si>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</si>
  <si>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</si>
  <si>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</si>
  <si>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2491</t>
  </si>
  <si>
    <t>金庫製造業</t>
  </si>
  <si>
    <t>2492</t>
  </si>
  <si>
    <t>金属製スプリング製造業</t>
  </si>
  <si>
    <t>2499</t>
  </si>
  <si>
    <t>他に分類されない金属製品製造業</t>
  </si>
  <si>
    <t>2500</t>
  </si>
  <si>
    <t>2509</t>
  </si>
  <si>
    <t>2511</t>
  </si>
  <si>
    <t>ボイラ製造業</t>
  </si>
  <si>
    <t>2512</t>
  </si>
  <si>
    <t>蒸気機関・タービン・水力タービン製造業（舶用を除く）</t>
  </si>
  <si>
    <t>2513</t>
  </si>
  <si>
    <t>はん用内燃機関製造業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</si>
  <si>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</si>
  <si>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</si>
  <si>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</si>
  <si>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</si>
  <si>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</si>
  <si>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</si>
  <si>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</si>
  <si>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</si>
  <si>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</si>
  <si>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</si>
  <si>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</si>
  <si>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</si>
  <si>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</si>
  <si>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</si>
  <si>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</si>
  <si>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</si>
  <si>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</si>
  <si>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</si>
  <si>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</si>
  <si>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</si>
  <si>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</si>
  <si>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</si>
  <si>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</si>
  <si>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</si>
  <si>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</si>
  <si>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</si>
  <si>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</si>
  <si>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</si>
  <si>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</si>
  <si>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</si>
  <si>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</si>
  <si>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</si>
  <si>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2600</t>
  </si>
  <si>
    <t>2609</t>
  </si>
  <si>
    <t>2611</t>
  </si>
  <si>
    <t>2621</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</si>
  <si>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</si>
  <si>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</si>
  <si>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</si>
  <si>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</si>
  <si>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</si>
  <si>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</si>
  <si>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</si>
  <si>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</si>
  <si>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</si>
  <si>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</si>
  <si>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</si>
  <si>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</si>
  <si>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</si>
  <si>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</si>
  <si>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</si>
  <si>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</si>
  <si>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</si>
  <si>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</si>
  <si>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</si>
  <si>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</si>
  <si>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</si>
  <si>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</si>
  <si>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</si>
  <si>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</si>
  <si>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</si>
  <si>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</si>
  <si>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</si>
  <si>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</si>
  <si>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</si>
  <si>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</si>
  <si>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</si>
  <si>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</si>
  <si>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</si>
  <si>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</si>
  <si>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</si>
  <si>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</si>
  <si>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</si>
  <si>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</si>
  <si>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</si>
  <si>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</si>
  <si>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</si>
  <si>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</si>
  <si>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</si>
  <si>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</si>
  <si>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</si>
  <si>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</si>
  <si>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</si>
  <si>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</si>
  <si>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2700</t>
  </si>
  <si>
    <t>2709</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</si>
  <si>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</si>
  <si>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</si>
  <si>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</si>
  <si>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</si>
  <si>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</si>
  <si>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</si>
  <si>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</si>
  <si>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</si>
  <si>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</si>
  <si>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</si>
  <si>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</si>
  <si>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</si>
  <si>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</si>
  <si>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</si>
  <si>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</si>
  <si>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</si>
  <si>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</si>
  <si>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</si>
  <si>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</si>
  <si>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</si>
  <si>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</si>
  <si>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</si>
  <si>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</si>
  <si>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</si>
  <si>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</si>
  <si>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</si>
  <si>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</si>
  <si>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</si>
  <si>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</si>
  <si>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</si>
  <si>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</si>
  <si>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</si>
  <si>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</si>
  <si>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</si>
  <si>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</si>
  <si>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</si>
  <si>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</si>
  <si>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</si>
  <si>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</si>
  <si>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</si>
  <si>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</si>
  <si>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</si>
  <si>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</si>
  <si>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</si>
  <si>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</si>
  <si>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2800</t>
  </si>
  <si>
    <t>2809</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</si>
  <si>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</si>
  <si>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</si>
  <si>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</si>
  <si>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</si>
  <si>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</si>
  <si>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</si>
  <si>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</si>
  <si>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</si>
  <si>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</si>
  <si>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</si>
  <si>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</si>
  <si>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</si>
  <si>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</si>
  <si>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</si>
  <si>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</si>
  <si>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</si>
  <si>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</si>
  <si>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</si>
  <si>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</si>
  <si>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</si>
  <si>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</si>
  <si>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</si>
  <si>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</si>
  <si>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</si>
  <si>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</si>
  <si>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</si>
  <si>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</si>
  <si>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</si>
  <si>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</si>
  <si>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2900</t>
  </si>
  <si>
    <t>2909</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</si>
  <si>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</si>
  <si>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</si>
  <si>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</si>
  <si>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</si>
  <si>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</si>
  <si>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</si>
  <si>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</si>
  <si>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</si>
  <si>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</si>
  <si>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</si>
  <si>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</si>
  <si>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</si>
  <si>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</si>
  <si>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</si>
  <si>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</si>
  <si>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</si>
  <si>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</si>
  <si>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</si>
  <si>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</si>
  <si>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</si>
  <si>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</si>
  <si>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</si>
  <si>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</si>
  <si>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</si>
  <si>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</si>
  <si>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</si>
  <si>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</si>
  <si>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</si>
  <si>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</si>
  <si>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</si>
  <si>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</si>
  <si>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</si>
  <si>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</si>
  <si>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Ｘ線装置製造業</t>
  </si>
  <si>
    <t>2962</t>
  </si>
  <si>
    <t>医療用電子応用装置製造業</t>
  </si>
  <si>
    <t>2969</t>
  </si>
  <si>
    <t>その他の電子応用装置製造業</t>
  </si>
  <si>
    <t>2971</t>
  </si>
  <si>
    <t>電気計測器製造業（別掲を除く）</t>
  </si>
  <si>
    <t>2972</t>
  </si>
  <si>
    <t>工業計器製造業</t>
  </si>
  <si>
    <t>2973</t>
  </si>
  <si>
    <t>医療用計測器製造業</t>
  </si>
  <si>
    <t>2999</t>
  </si>
  <si>
    <t>3000</t>
  </si>
  <si>
    <t>3009</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</si>
  <si>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</si>
  <si>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</si>
  <si>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</si>
  <si>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</si>
  <si>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</si>
  <si>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</si>
  <si>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</si>
  <si>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</si>
  <si>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</si>
  <si>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</si>
  <si>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</si>
  <si>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</si>
  <si>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</si>
  <si>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</si>
  <si>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</si>
  <si>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</si>
  <si>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</si>
  <si>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</si>
  <si>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</si>
  <si>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</si>
  <si>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</si>
  <si>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</si>
  <si>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</si>
  <si>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</si>
  <si>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</si>
  <si>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</si>
  <si>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</si>
  <si>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</si>
  <si>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</si>
  <si>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</si>
  <si>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3100</t>
  </si>
  <si>
    <t>3109</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</si>
  <si>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</si>
  <si>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</si>
  <si>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</si>
  <si>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</si>
  <si>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</si>
  <si>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</si>
  <si>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</si>
  <si>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</si>
  <si>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</si>
  <si>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</si>
  <si>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</si>
  <si>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</si>
  <si>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</si>
  <si>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</si>
  <si>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</si>
  <si>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</si>
  <si>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</si>
  <si>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</si>
  <si>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</si>
  <si>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</si>
  <si>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</si>
  <si>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</si>
  <si>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</si>
  <si>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</si>
  <si>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</si>
  <si>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</si>
  <si>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</si>
  <si>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</si>
  <si>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</si>
  <si>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</si>
  <si>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</si>
  <si>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</si>
  <si>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3200</t>
  </si>
  <si>
    <t>3209</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</si>
  <si>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</si>
  <si>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</si>
  <si>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</si>
  <si>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</si>
  <si>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</si>
  <si>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</si>
  <si>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</si>
  <si>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</si>
  <si>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</si>
  <si>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</si>
  <si>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</si>
  <si>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</si>
  <si>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</si>
  <si>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</si>
  <si>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</si>
  <si>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</si>
  <si>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</si>
  <si>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3241</t>
  </si>
  <si>
    <t>ピアノ製造業</t>
  </si>
  <si>
    <t>3249</t>
  </si>
  <si>
    <t>その他の楽器・楽器部品・同材料製造業</t>
  </si>
  <si>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</si>
  <si>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</si>
  <si>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</si>
  <si>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</si>
  <si>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</si>
  <si>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</si>
  <si>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</si>
  <si>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</si>
  <si>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</si>
  <si>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</si>
  <si>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</si>
  <si>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</si>
  <si>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</si>
  <si>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</si>
  <si>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</si>
  <si>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</si>
  <si>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</si>
  <si>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</si>
  <si>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</si>
  <si>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</si>
  <si>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</si>
  <si>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</si>
  <si>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</si>
  <si>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</si>
  <si>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</si>
  <si>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</si>
  <si>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</si>
  <si>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</si>
  <si>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</si>
  <si>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</si>
  <si>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</si>
  <si>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</si>
  <si>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</si>
  <si>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</si>
  <si>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</si>
  <si>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</si>
  <si>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</si>
  <si>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</si>
  <si>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</si>
  <si>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</si>
  <si>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</si>
  <si>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3300</t>
  </si>
  <si>
    <t>3309</t>
  </si>
  <si>
    <t>3311</t>
  </si>
  <si>
    <t>発電所</t>
  </si>
  <si>
    <t>3312</t>
  </si>
  <si>
    <t>変電所</t>
  </si>
  <si>
    <t>3400</t>
  </si>
  <si>
    <t>3409</t>
  </si>
  <si>
    <t>3411</t>
  </si>
  <si>
    <t>ガス製造工場</t>
  </si>
  <si>
    <t>3412</t>
  </si>
  <si>
    <t>ガス供給所</t>
  </si>
  <si>
    <t>3500</t>
  </si>
  <si>
    <t>3509</t>
  </si>
  <si>
    <t>3511</t>
  </si>
  <si>
    <t>3600</t>
  </si>
  <si>
    <t>3609</t>
  </si>
  <si>
    <t>3611</t>
  </si>
  <si>
    <t>3621</t>
  </si>
  <si>
    <t>3631</t>
  </si>
  <si>
    <t>下水道処理施設維持管理業</t>
  </si>
  <si>
    <t>3632</t>
  </si>
  <si>
    <t>下水道管路施設維持管理業</t>
  </si>
  <si>
    <t>3700</t>
  </si>
  <si>
    <t>3709</t>
  </si>
  <si>
    <t>3711</t>
  </si>
  <si>
    <t>地域電気通信業（有線放送電話業を除く）</t>
  </si>
  <si>
    <t>3712</t>
  </si>
  <si>
    <t>長距離電気通信業</t>
  </si>
  <si>
    <t>3713</t>
  </si>
  <si>
    <t>有線放送電話業</t>
  </si>
  <si>
    <t>3719</t>
  </si>
  <si>
    <t>その他の固定電気通信業</t>
  </si>
  <si>
    <t>3721</t>
  </si>
  <si>
    <t>3731</t>
  </si>
  <si>
    <t>3800</t>
  </si>
  <si>
    <t>3809</t>
  </si>
  <si>
    <t>3811</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</si>
  <si>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</si>
  <si>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</si>
  <si>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</si>
  <si>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</si>
  <si>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</si>
  <si>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</si>
  <si>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</si>
  <si>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</si>
  <si>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</si>
  <si>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</si>
  <si>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</si>
  <si>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</si>
  <si>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3900</t>
  </si>
  <si>
    <t>3909</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</si>
  <si>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</si>
  <si>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</si>
  <si>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</si>
  <si>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</si>
  <si>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</si>
  <si>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</si>
  <si>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</si>
  <si>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</si>
  <si>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</si>
  <si>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</si>
  <si>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</si>
  <si>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</si>
  <si>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</si>
  <si>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rPh sb="0" eb="2">
      <t>シジョウ</t>
    </rPh>
    <rPh sb="2" eb="4">
      <t>チョウサ</t>
    </rPh>
    <rPh sb="5" eb="7">
      <t>セロン</t>
    </rPh>
    <rPh sb="7" eb="9">
      <t>チョウサ</t>
    </rPh>
    <rPh sb="10" eb="12">
      <t>シャカイ</t>
    </rPh>
    <rPh sb="12" eb="14">
      <t>チョウサ</t>
    </rPh>
    <rPh sb="14" eb="15">
      <t>ギョウ</t>
    </rPh>
    <phoneticPr fontId="15"/>
  </si>
  <si>
    <t>3929</t>
  </si>
  <si>
    <t>その他の情報処理・提供サービス業</t>
  </si>
  <si>
    <t>4000</t>
  </si>
  <si>
    <t>4009</t>
  </si>
  <si>
    <t>4011</t>
  </si>
  <si>
    <t>ポータルサイト・サーバ運営業</t>
  </si>
  <si>
    <t>4012</t>
  </si>
  <si>
    <t>アプリケーション・サービス・コンテンツ・プロバイダ</t>
  </si>
  <si>
    <t>4013</t>
  </si>
  <si>
    <t>インターネット利用サポート業</t>
  </si>
  <si>
    <t>4100</t>
  </si>
  <si>
    <t>4109</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</si>
  <si>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</si>
  <si>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</si>
  <si>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</si>
  <si>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</si>
  <si>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</si>
  <si>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</si>
  <si>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</si>
  <si>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</si>
  <si>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</si>
  <si>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</si>
  <si>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</si>
  <si>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</si>
  <si>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</si>
  <si>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4141</t>
  </si>
  <si>
    <t>4151</t>
  </si>
  <si>
    <t>4161</t>
  </si>
  <si>
    <t>ニュース供給業</t>
  </si>
  <si>
    <t>4169</t>
  </si>
  <si>
    <t>その他の映像・音声・文字情報制作に附帯するサービス業</t>
  </si>
  <si>
    <t>4200</t>
  </si>
  <si>
    <t>4209</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</si>
  <si>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</si>
  <si>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</si>
  <si>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</si>
  <si>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</si>
  <si>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</si>
  <si>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</si>
  <si>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</si>
  <si>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</si>
  <si>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</si>
  <si>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</si>
  <si>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</si>
  <si>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</si>
  <si>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</si>
  <si>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</si>
  <si>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</si>
  <si>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</si>
  <si>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4300</t>
  </si>
  <si>
    <t>4309</t>
  </si>
  <si>
    <t>4311</t>
  </si>
  <si>
    <t>4321</t>
  </si>
  <si>
    <t>4331</t>
  </si>
  <si>
    <t>4391</t>
  </si>
  <si>
    <t>特定旅客自動車運送業</t>
  </si>
  <si>
    <t>4399</t>
  </si>
  <si>
    <t>他に分類されない道路旅客運送業</t>
  </si>
  <si>
    <t>4400</t>
  </si>
  <si>
    <t>4409</t>
  </si>
  <si>
    <t>4411</t>
  </si>
  <si>
    <t>一般貨物自動車運送業（特別積合せ貨物運送業を除く）</t>
  </si>
  <si>
    <t>4412</t>
  </si>
  <si>
    <t>特別積合せ貨物運送業</t>
  </si>
  <si>
    <t>4421</t>
  </si>
  <si>
    <t>4431</t>
  </si>
  <si>
    <t>4441</t>
  </si>
  <si>
    <t>4499</t>
  </si>
  <si>
    <t>4500</t>
  </si>
  <si>
    <t>4509</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</si>
  <si>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</si>
  <si>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</si>
  <si>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</si>
  <si>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</si>
  <si>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</si>
  <si>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</si>
  <si>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</si>
  <si>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</si>
  <si>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</si>
  <si>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</si>
  <si>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</si>
  <si>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</si>
  <si>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</si>
  <si>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</si>
  <si>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</si>
  <si>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</si>
  <si>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</si>
  <si>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</si>
  <si>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4600</t>
  </si>
  <si>
    <t>4609</t>
  </si>
  <si>
    <t>4611</t>
  </si>
  <si>
    <t>4621</t>
  </si>
  <si>
    <t>4700</t>
  </si>
  <si>
    <t>4709</t>
  </si>
  <si>
    <t>4711</t>
  </si>
  <si>
    <t>4721</t>
  </si>
  <si>
    <t>4800</t>
  </si>
  <si>
    <t>4809</t>
  </si>
  <si>
    <t>4811</t>
  </si>
  <si>
    <t>4821</t>
  </si>
  <si>
    <t>利用運送業（集配利用運送業を除く）</t>
  </si>
  <si>
    <t>4822</t>
  </si>
  <si>
    <t>運送取次業</t>
  </si>
  <si>
    <t>4831</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</si>
  <si>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</si>
  <si>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</si>
  <si>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</si>
  <si>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</si>
  <si>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</si>
  <si>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</si>
  <si>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</si>
  <si>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</si>
  <si>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</si>
  <si>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</si>
  <si>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</si>
  <si>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</si>
  <si>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</si>
  <si>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</si>
  <si>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</si>
  <si>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</si>
  <si>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</si>
  <si>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</si>
  <si>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</si>
  <si>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</si>
  <si>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4901</t>
  </si>
  <si>
    <t>管理，補助的経済活動を行う事業所</t>
  </si>
  <si>
    <t>4911</t>
  </si>
  <si>
    <t>5000</t>
  </si>
  <si>
    <t>5008</t>
  </si>
  <si>
    <t>自家用倉庫</t>
  </si>
  <si>
    <t>5009</t>
  </si>
  <si>
    <t>5011</t>
  </si>
  <si>
    <t>各種商品卸売業（従業者が常時100人以上のもの）</t>
  </si>
  <si>
    <t>5019</t>
  </si>
  <si>
    <t>その他の各種商品卸売業</t>
  </si>
  <si>
    <t>5100</t>
  </si>
  <si>
    <t>5108</t>
  </si>
  <si>
    <t>5109</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</si>
  <si>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</si>
  <si>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</si>
  <si>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</si>
  <si>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</si>
  <si>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</si>
  <si>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</si>
  <si>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</si>
  <si>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</si>
  <si>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</si>
  <si>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</si>
  <si>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</si>
  <si>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</si>
  <si>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</si>
  <si>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</si>
  <si>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</si>
  <si>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</si>
  <si>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</si>
  <si>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</si>
  <si>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</si>
  <si>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</si>
  <si>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</si>
  <si>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</si>
  <si>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5200</t>
  </si>
  <si>
    <t>5208</t>
  </si>
  <si>
    <t>5209</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</si>
  <si>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</si>
  <si>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</si>
  <si>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</si>
  <si>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</si>
  <si>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</si>
  <si>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</si>
  <si>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</si>
  <si>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</si>
  <si>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</si>
  <si>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</si>
  <si>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</si>
  <si>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</si>
  <si>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</si>
  <si>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</si>
  <si>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</si>
  <si>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</si>
  <si>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</si>
  <si>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</si>
  <si>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</si>
  <si>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</si>
  <si>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</si>
  <si>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</si>
  <si>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</si>
  <si>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</si>
  <si>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</si>
  <si>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</si>
  <si>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</si>
  <si>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</si>
  <si>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</si>
  <si>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</si>
  <si>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5300</t>
  </si>
  <si>
    <t>5308</t>
  </si>
  <si>
    <t>5309</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</si>
  <si>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</si>
  <si>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</si>
  <si>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</si>
  <si>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</si>
  <si>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</si>
  <si>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</si>
  <si>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</si>
  <si>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</si>
  <si>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</si>
  <si>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</si>
  <si>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</si>
  <si>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</si>
  <si>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</si>
  <si>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</si>
  <si>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</si>
  <si>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</si>
  <si>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</si>
  <si>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</si>
  <si>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</si>
  <si>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</si>
  <si>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</si>
  <si>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</si>
  <si>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</si>
  <si>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</si>
  <si>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</si>
  <si>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</si>
  <si>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</si>
  <si>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</si>
  <si>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</si>
  <si>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</si>
  <si>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</si>
  <si>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</si>
  <si>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</si>
  <si>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</si>
  <si>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</si>
  <si>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</si>
  <si>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</si>
  <si>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</si>
  <si>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</si>
  <si>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</si>
  <si>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5400</t>
  </si>
  <si>
    <t>5408</t>
  </si>
  <si>
    <t>5409</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</si>
  <si>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</si>
  <si>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</si>
  <si>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</si>
  <si>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</si>
  <si>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</si>
  <si>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</si>
  <si>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</si>
  <si>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</si>
  <si>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</si>
  <si>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</si>
  <si>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</si>
  <si>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</si>
  <si>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</si>
  <si>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</si>
  <si>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</si>
  <si>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</si>
  <si>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</si>
  <si>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</si>
  <si>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</si>
  <si>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</si>
  <si>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</si>
  <si>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</si>
  <si>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</si>
  <si>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</si>
  <si>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</si>
  <si>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</si>
  <si>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5500</t>
  </si>
  <si>
    <t>5508</t>
  </si>
  <si>
    <t>5509</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</si>
  <si>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</si>
  <si>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</si>
  <si>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</si>
  <si>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</si>
  <si>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</si>
  <si>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</si>
  <si>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</si>
  <si>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</si>
  <si>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</si>
  <si>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</si>
  <si>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</si>
  <si>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</si>
  <si>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</si>
  <si>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</si>
  <si>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</si>
  <si>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</si>
  <si>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</si>
  <si>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</si>
  <si>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</si>
  <si>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</si>
  <si>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</si>
  <si>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</si>
  <si>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</si>
  <si>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</si>
  <si>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</si>
  <si>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</si>
  <si>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</si>
  <si>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</si>
  <si>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</si>
  <si>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</si>
  <si>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</si>
  <si>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</si>
  <si>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</si>
  <si>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</si>
  <si>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</si>
  <si>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</si>
  <si>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</si>
  <si>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</si>
  <si>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</si>
  <si>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</si>
  <si>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</si>
  <si>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</si>
  <si>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5600</t>
  </si>
  <si>
    <t>5608</t>
  </si>
  <si>
    <t>5609</t>
  </si>
  <si>
    <t>5611</t>
  </si>
  <si>
    <t>5699</t>
  </si>
  <si>
    <t>5700</t>
  </si>
  <si>
    <t>5708</t>
  </si>
  <si>
    <t>5709</t>
  </si>
  <si>
    <t>5711</t>
  </si>
  <si>
    <t>呉服・服地小売業</t>
  </si>
  <si>
    <t>5712</t>
  </si>
  <si>
    <t>寝具小売業</t>
  </si>
  <si>
    <t>5721</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</si>
  <si>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</si>
  <si>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</si>
  <si>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</si>
  <si>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</si>
  <si>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</si>
  <si>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</si>
  <si>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</si>
  <si>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</si>
  <si>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</si>
  <si>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</si>
  <si>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</si>
  <si>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</si>
  <si>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</si>
  <si>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</si>
  <si>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</si>
  <si>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</si>
  <si>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5800</t>
  </si>
  <si>
    <t>5808</t>
  </si>
  <si>
    <t>5809</t>
  </si>
  <si>
    <t>5811</t>
  </si>
  <si>
    <t>5821</t>
  </si>
  <si>
    <t>野菜小売業</t>
  </si>
  <si>
    <t>5822</t>
  </si>
  <si>
    <t>果実小売業</t>
  </si>
  <si>
    <t>5831</t>
  </si>
  <si>
    <t>食肉小売業（卵，鳥肉を除く）</t>
  </si>
  <si>
    <t>5832</t>
  </si>
  <si>
    <t>卵・鳥肉小売業</t>
  </si>
  <si>
    <t>5841</t>
  </si>
  <si>
    <t>5851</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</si>
  <si>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</si>
  <si>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</si>
  <si>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</si>
  <si>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</si>
  <si>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</si>
  <si>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</si>
  <si>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</si>
  <si>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</si>
  <si>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</si>
  <si>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</si>
  <si>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</si>
  <si>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</si>
  <si>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</si>
  <si>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</si>
  <si>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</si>
  <si>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</si>
  <si>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</si>
  <si>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</si>
  <si>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</si>
  <si>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</si>
  <si>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</si>
  <si>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</si>
  <si>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</si>
  <si>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</si>
  <si>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</si>
  <si>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</si>
  <si>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5900</t>
  </si>
  <si>
    <t>5908</t>
  </si>
  <si>
    <t>5909</t>
  </si>
  <si>
    <t>5911</t>
  </si>
  <si>
    <t>自動車（新車）小売業</t>
  </si>
  <si>
    <t>5912</t>
  </si>
  <si>
    <t>中古自動車小売業</t>
  </si>
  <si>
    <t>5913</t>
  </si>
  <si>
    <t>自動車部分品・附属品小売業</t>
  </si>
  <si>
    <t>5914</t>
  </si>
  <si>
    <t>二輪自動車小売業（原動機付自転車を含む）</t>
  </si>
  <si>
    <t>5921</t>
  </si>
  <si>
    <t>5931</t>
  </si>
  <si>
    <t>電気機械器具小売業（中古品を除く）</t>
  </si>
  <si>
    <t>5932</t>
  </si>
  <si>
    <t>電気事務機械器具小売業（中古品を除く）</t>
  </si>
  <si>
    <t>5933</t>
  </si>
  <si>
    <t>中古電気製品小売業</t>
  </si>
  <si>
    <t>5939</t>
  </si>
  <si>
    <t>その他の機械器具小売業</t>
  </si>
  <si>
    <t>6000</t>
  </si>
  <si>
    <t>6008</t>
  </si>
  <si>
    <t>6009</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</si>
  <si>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</si>
  <si>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</si>
  <si>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</si>
  <si>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</si>
  <si>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</si>
  <si>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</si>
  <si>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</si>
  <si>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</si>
  <si>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</si>
  <si>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</si>
  <si>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</si>
  <si>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</si>
  <si>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</si>
  <si>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</si>
  <si>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</si>
  <si>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</si>
  <si>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</si>
  <si>
    <t>ドラッグストア</t>
  </si>
  <si>
    <t>6032</t>
  </si>
  <si>
    <t>医薬品小売業（調剤薬局を除く）</t>
  </si>
  <si>
    <t>6033</t>
  </si>
  <si>
    <t>調剤薬局</t>
  </si>
  <si>
    <t>6034</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</si>
  <si>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</si>
  <si>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</si>
  <si>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</si>
  <si>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</si>
  <si>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</si>
  <si>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</si>
  <si>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</si>
  <si>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</si>
  <si>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</si>
  <si>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</si>
  <si>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</si>
  <si>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</si>
  <si>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</si>
  <si>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</si>
  <si>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</si>
  <si>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</si>
  <si>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</si>
  <si>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</si>
  <si>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</si>
  <si>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</si>
  <si>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</si>
  <si>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</si>
  <si>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</si>
  <si>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</si>
  <si>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</si>
  <si>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</si>
  <si>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</si>
  <si>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</si>
  <si>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</si>
  <si>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</si>
  <si>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</si>
  <si>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</si>
  <si>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</si>
  <si>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</si>
  <si>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</si>
  <si>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</si>
  <si>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</si>
  <si>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</si>
  <si>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</si>
  <si>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</si>
  <si>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</si>
  <si>
    <t>6097</t>
  </si>
  <si>
    <t>骨とう品小売業</t>
  </si>
  <si>
    <t>6098</t>
  </si>
  <si>
    <t>中古品小売業（骨とう品を除く）</t>
  </si>
  <si>
    <t>6099</t>
  </si>
  <si>
    <t>他に分類されないその他の小売業</t>
  </si>
  <si>
    <t>6100</t>
  </si>
  <si>
    <t>6108</t>
  </si>
  <si>
    <t>6109</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</si>
  <si>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</si>
  <si>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</si>
  <si>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</si>
  <si>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</si>
  <si>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</si>
  <si>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</si>
  <si>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</si>
  <si>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</si>
  <si>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</si>
  <si>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</si>
  <si>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</si>
  <si>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6199</t>
  </si>
  <si>
    <t>6200</t>
  </si>
  <si>
    <t>6209</t>
  </si>
  <si>
    <t>6211</t>
  </si>
  <si>
    <t>6221</t>
  </si>
  <si>
    <t>普通銀行</t>
  </si>
  <si>
    <t>6222</t>
  </si>
  <si>
    <t>郵便貯金銀行</t>
  </si>
  <si>
    <t>6223</t>
  </si>
  <si>
    <t>信託銀行</t>
  </si>
  <si>
    <t>6229</t>
  </si>
  <si>
    <t>その他の銀行</t>
  </si>
  <si>
    <t>6300</t>
  </si>
  <si>
    <t>6309</t>
  </si>
  <si>
    <t>6311</t>
  </si>
  <si>
    <t>信用金庫・同連合会</t>
  </si>
  <si>
    <t>6312</t>
  </si>
  <si>
    <t>信用協同組合・同連合会</t>
  </si>
  <si>
    <t>6313</t>
  </si>
  <si>
    <t>商工組合中央金庫</t>
  </si>
  <si>
    <t>6314</t>
  </si>
  <si>
    <t>労働金庫・同連合会</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</si>
  <si>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</si>
  <si>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</si>
  <si>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</si>
  <si>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</si>
  <si>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</si>
  <si>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</si>
  <si>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</si>
  <si>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</si>
  <si>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</si>
  <si>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</si>
  <si>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6400</t>
  </si>
  <si>
    <t>6409</t>
  </si>
  <si>
    <t>6411</t>
  </si>
  <si>
    <t>消費者向け貸金業</t>
  </si>
  <si>
    <t>6412</t>
  </si>
  <si>
    <t>事業者向け貸金業</t>
  </si>
  <si>
    <t>6421</t>
  </si>
  <si>
    <t>6431</t>
  </si>
  <si>
    <t>クレジットカード業</t>
  </si>
  <si>
    <t>6432</t>
  </si>
  <si>
    <t>割賦金融業</t>
  </si>
  <si>
    <t>6491</t>
  </si>
  <si>
    <t>政府関係金融機関</t>
  </si>
  <si>
    <t>6492</t>
  </si>
  <si>
    <t>住宅専門金融業</t>
  </si>
  <si>
    <t>6493</t>
  </si>
  <si>
    <t>証券金融業</t>
  </si>
  <si>
    <t>6499</t>
  </si>
  <si>
    <t>他に分類されない非預金信用機関</t>
  </si>
  <si>
    <t>6500</t>
  </si>
  <si>
    <t>6509</t>
  </si>
  <si>
    <t>6511</t>
  </si>
  <si>
    <t>金融商品取引業（投資助言・代理・運用業，補助的金融商品取引業を除く）</t>
  </si>
  <si>
    <t>6512</t>
  </si>
  <si>
    <t>投資助言・代理業</t>
  </si>
  <si>
    <t>6513</t>
  </si>
  <si>
    <t>投資運用業</t>
  </si>
  <si>
    <t>6514</t>
  </si>
  <si>
    <t>補助的金融商品取引業</t>
  </si>
  <si>
    <t>6521</t>
  </si>
  <si>
    <t>商品先物取引業</t>
    <rPh sb="0" eb="2">
      <t>ショウヒン</t>
    </rPh>
    <rPh sb="2" eb="4">
      <t>サキモノ</t>
    </rPh>
    <rPh sb="4" eb="6">
      <t>トリヒキ</t>
    </rPh>
    <rPh sb="6" eb="7">
      <t>ギョウ</t>
    </rPh>
    <phoneticPr fontId="15"/>
  </si>
  <si>
    <t>6522</t>
  </si>
  <si>
    <t>商品投資顧問業</t>
    <rPh sb="0" eb="2">
      <t>ショウヒン</t>
    </rPh>
    <rPh sb="2" eb="4">
      <t>トウシ</t>
    </rPh>
    <rPh sb="4" eb="6">
      <t>コモン</t>
    </rPh>
    <rPh sb="6" eb="7">
      <t>ギョウ</t>
    </rPh>
    <phoneticPr fontId="15"/>
  </si>
  <si>
    <t>6529</t>
  </si>
  <si>
    <t>その他の商品先物取引業，商品投資顧問業</t>
    <rPh sb="16" eb="18">
      <t>コモン</t>
    </rPh>
    <phoneticPr fontId="15"/>
  </si>
  <si>
    <t>6600</t>
  </si>
  <si>
    <t>6609</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</si>
  <si>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</si>
  <si>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</si>
  <si>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</si>
  <si>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</si>
  <si>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</si>
  <si>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</si>
  <si>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</si>
  <si>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</si>
  <si>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</si>
  <si>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</si>
  <si>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</si>
  <si>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</si>
  <si>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</si>
  <si>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</si>
  <si>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</si>
  <si>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</si>
  <si>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</si>
  <si>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</si>
  <si>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6621</t>
  </si>
  <si>
    <t>運用型信託業</t>
  </si>
  <si>
    <t>6622</t>
  </si>
  <si>
    <t>管理型信託業</t>
  </si>
  <si>
    <t>6631</t>
  </si>
  <si>
    <t>金融商品仲介業</t>
  </si>
  <si>
    <t>6632</t>
  </si>
  <si>
    <t>信託契約代理業</t>
  </si>
  <si>
    <t>6639</t>
  </si>
  <si>
    <t>その他の金融代理業</t>
  </si>
  <si>
    <t>6700</t>
  </si>
  <si>
    <t>6709</t>
  </si>
  <si>
    <t>6711</t>
  </si>
  <si>
    <t>生命保険業（郵便保険業，生命保険再保険業を除く）</t>
  </si>
  <si>
    <t>6712</t>
  </si>
  <si>
    <t>郵便保険業</t>
  </si>
  <si>
    <t>6713</t>
  </si>
  <si>
    <t>生命保険再保険業</t>
  </si>
  <si>
    <t>6719</t>
  </si>
  <si>
    <t>その他の生命保険業</t>
  </si>
  <si>
    <t>6721</t>
  </si>
  <si>
    <t>損害保険業（損害保険再保険業を除く）</t>
  </si>
  <si>
    <t>6722</t>
  </si>
  <si>
    <t>損害保険再保険業</t>
  </si>
  <si>
    <t>6729</t>
  </si>
  <si>
    <t>その他の損害保険業</t>
  </si>
  <si>
    <t>6731</t>
  </si>
  <si>
    <t>共済事業（各種災害補償法によるもの）</t>
  </si>
  <si>
    <t>6732</t>
  </si>
  <si>
    <t>共済事業（各種協同組合法等によるもの）</t>
  </si>
  <si>
    <t>6733</t>
  </si>
  <si>
    <t>少額短期保険業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</si>
  <si>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</si>
  <si>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</si>
  <si>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</si>
  <si>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</si>
  <si>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</si>
  <si>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</si>
  <si>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</si>
  <si>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</si>
  <si>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</si>
  <si>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</si>
  <si>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</si>
  <si>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</si>
  <si>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6800</t>
  </si>
  <si>
    <t>6809</t>
  </si>
  <si>
    <t>6811</t>
  </si>
  <si>
    <t>建物売買業</t>
  </si>
  <si>
    <t>6812</t>
  </si>
  <si>
    <t>土地売買業</t>
  </si>
  <si>
    <t>6821</t>
  </si>
  <si>
    <t>6900</t>
  </si>
  <si>
    <t>6909</t>
  </si>
  <si>
    <t>6911</t>
  </si>
  <si>
    <t>貸事務所業</t>
  </si>
  <si>
    <t>6912</t>
  </si>
  <si>
    <t>土地賃貸業</t>
  </si>
  <si>
    <t>6919</t>
  </si>
  <si>
    <t>その他の不動産賃貸業</t>
  </si>
  <si>
    <t>6921</t>
  </si>
  <si>
    <t>貸家業</t>
  </si>
  <si>
    <t>6922</t>
  </si>
  <si>
    <t>貸間業</t>
  </si>
  <si>
    <t>6931</t>
  </si>
  <si>
    <t>6941</t>
  </si>
  <si>
    <t>7000</t>
  </si>
  <si>
    <t>7009</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</si>
  <si>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</si>
  <si>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</si>
  <si>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</si>
  <si>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</si>
  <si>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</si>
  <si>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</si>
  <si>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</si>
  <si>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</si>
  <si>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</si>
  <si>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</si>
  <si>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</si>
  <si>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</si>
  <si>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</si>
  <si>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7051</t>
  </si>
  <si>
    <t>7091</t>
  </si>
  <si>
    <t>映画・演劇用品賃貸業</t>
  </si>
  <si>
    <t>7092</t>
  </si>
  <si>
    <t>音楽・映像記録物賃貸業（別掲を除く）</t>
  </si>
  <si>
    <t>7093</t>
  </si>
  <si>
    <t>貸衣しょう業（別掲を除く）</t>
  </si>
  <si>
    <t>7099</t>
  </si>
  <si>
    <t>他に分類されない物品賃貸業</t>
  </si>
  <si>
    <t>7101</t>
  </si>
  <si>
    <t>7111</t>
  </si>
  <si>
    <t>理学研究所</t>
  </si>
  <si>
    <t>7112</t>
  </si>
  <si>
    <t>工学研究所</t>
  </si>
  <si>
    <t>7113</t>
  </si>
  <si>
    <t>農学研究所</t>
  </si>
  <si>
    <t>7114</t>
  </si>
  <si>
    <t>医学・薬学研究所</t>
  </si>
  <si>
    <t>7121</t>
  </si>
  <si>
    <t>7201</t>
  </si>
  <si>
    <t>7211</t>
  </si>
  <si>
    <t>法律事務所</t>
  </si>
  <si>
    <t>7212</t>
  </si>
  <si>
    <t>特許事務所</t>
  </si>
  <si>
    <t>7221</t>
  </si>
  <si>
    <t>公証人役場，司法書士事務所</t>
  </si>
  <si>
    <t>7222</t>
  </si>
  <si>
    <t>土地家屋調査士事務所</t>
  </si>
  <si>
    <t>7231</t>
  </si>
  <si>
    <t>7241</t>
  </si>
  <si>
    <t>公認会計士事務所</t>
  </si>
  <si>
    <t>7242</t>
  </si>
  <si>
    <t>税理士事務所</t>
  </si>
  <si>
    <t>7251</t>
  </si>
  <si>
    <t>7261</t>
  </si>
  <si>
    <t>7271</t>
  </si>
  <si>
    <t>著述家業</t>
  </si>
  <si>
    <t>7272</t>
  </si>
  <si>
    <t>芸術家業</t>
  </si>
  <si>
    <t>7281</t>
  </si>
  <si>
    <t>経営コンサルタント業</t>
  </si>
  <si>
    <t>7282</t>
  </si>
  <si>
    <t>純粋持株会社</t>
  </si>
  <si>
    <t>7291</t>
  </si>
  <si>
    <t>興信所</t>
  </si>
  <si>
    <t>7292</t>
  </si>
  <si>
    <t>翻訳業（著述家業を除く）</t>
  </si>
  <si>
    <t>7293</t>
  </si>
  <si>
    <t>通訳業，通訳案内業</t>
  </si>
  <si>
    <t>7294</t>
  </si>
  <si>
    <t>不動産鑑定業</t>
  </si>
  <si>
    <t>7299</t>
  </si>
  <si>
    <t>他に分類されない専門サービス業</t>
  </si>
  <si>
    <t>7300</t>
  </si>
  <si>
    <t>7309</t>
  </si>
  <si>
    <t>7311</t>
  </si>
  <si>
    <t>7401</t>
  </si>
  <si>
    <t>7411</t>
  </si>
  <si>
    <t>7421</t>
  </si>
  <si>
    <t>建築設計業</t>
  </si>
  <si>
    <t>7422</t>
  </si>
  <si>
    <t>測量業</t>
  </si>
  <si>
    <t>7429</t>
  </si>
  <si>
    <t>その他の土木建築サービス業</t>
  </si>
  <si>
    <t>7431</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</si>
  <si>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</si>
  <si>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</si>
  <si>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</si>
  <si>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</si>
  <si>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</si>
  <si>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</si>
  <si>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</si>
  <si>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</si>
  <si>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</si>
  <si>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</si>
  <si>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</si>
  <si>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</si>
  <si>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</si>
  <si>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</si>
  <si>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</si>
  <si>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7500</t>
  </si>
  <si>
    <t>7509</t>
  </si>
  <si>
    <t>7511</t>
  </si>
  <si>
    <t>7521</t>
  </si>
  <si>
    <t>7531</t>
  </si>
  <si>
    <t>7591</t>
  </si>
  <si>
    <t>会社・団体の宿泊所</t>
  </si>
  <si>
    <t>7592</t>
  </si>
  <si>
    <t>リゾートクラブ</t>
  </si>
  <si>
    <t>7599</t>
  </si>
  <si>
    <t>他に分類されない宿泊業</t>
  </si>
  <si>
    <t>7600</t>
  </si>
  <si>
    <t>7609</t>
  </si>
  <si>
    <t>7611</t>
  </si>
  <si>
    <t>7621</t>
  </si>
  <si>
    <t>日本料理店</t>
  </si>
  <si>
    <t>7622</t>
  </si>
  <si>
    <t>料亭</t>
  </si>
  <si>
    <t>7623</t>
  </si>
  <si>
    <t>中華料理店</t>
  </si>
  <si>
    <t>7624</t>
  </si>
  <si>
    <t>ラーメン店</t>
  </si>
  <si>
    <t>7625</t>
  </si>
  <si>
    <t>焼肉店</t>
  </si>
  <si>
    <t>7629</t>
  </si>
  <si>
    <t>その他の専門料理店</t>
  </si>
  <si>
    <t>7631</t>
  </si>
  <si>
    <t>7641</t>
  </si>
  <si>
    <t>7651</t>
  </si>
  <si>
    <t>7661</t>
  </si>
  <si>
    <t>7671</t>
  </si>
  <si>
    <t>7691</t>
  </si>
  <si>
    <t>ハンバーガー店</t>
  </si>
  <si>
    <t>7692</t>
  </si>
  <si>
    <t>お好み焼き・焼きそば・たこ焼店</t>
  </si>
  <si>
    <t>7699</t>
  </si>
  <si>
    <t>他に分類されない飲食店</t>
  </si>
  <si>
    <t>7700</t>
  </si>
  <si>
    <t>7709</t>
  </si>
  <si>
    <t>7711</t>
  </si>
  <si>
    <t>7721</t>
  </si>
  <si>
    <t>7800</t>
  </si>
  <si>
    <t>7809</t>
  </si>
  <si>
    <t>7811</t>
  </si>
  <si>
    <t>普通洗濯業</t>
  </si>
  <si>
    <t>7812</t>
  </si>
  <si>
    <t>洗濯物取次業</t>
  </si>
  <si>
    <t>7813</t>
  </si>
  <si>
    <t>リネンサプライ業</t>
  </si>
  <si>
    <t>7821</t>
  </si>
  <si>
    <t>7831</t>
  </si>
  <si>
    <t>7841</t>
  </si>
  <si>
    <t>7851</t>
  </si>
  <si>
    <t>7891</t>
  </si>
  <si>
    <t>洗張・染物業</t>
  </si>
  <si>
    <t>7892</t>
  </si>
  <si>
    <t>エステティック業</t>
  </si>
  <si>
    <t>7893</t>
  </si>
  <si>
    <t>リラクゼーション業（手技を用いるもの）</t>
    <rPh sb="8" eb="9">
      <t>ギョウ</t>
    </rPh>
    <rPh sb="10" eb="12">
      <t>シュギ</t>
    </rPh>
    <rPh sb="13" eb="14">
      <t>モチ</t>
    </rPh>
    <phoneticPr fontId="15"/>
  </si>
  <si>
    <t>7894</t>
  </si>
  <si>
    <t>ネイルサービス業</t>
  </si>
  <si>
    <t>7899</t>
  </si>
  <si>
    <t>他に分類されない洗濯・理容・美容・浴場業</t>
  </si>
  <si>
    <t>7900</t>
  </si>
  <si>
    <t>7909</t>
  </si>
  <si>
    <t>7911</t>
  </si>
  <si>
    <t>旅行業(旅行業者代理業を除く)</t>
  </si>
  <si>
    <t>7912</t>
  </si>
  <si>
    <t>旅行業者代理業</t>
  </si>
  <si>
    <t>7921</t>
  </si>
  <si>
    <t>家事サービス業（住込みのもの）</t>
  </si>
  <si>
    <t>7922</t>
  </si>
  <si>
    <t>家事サービス業（住込みでないもの）</t>
  </si>
  <si>
    <t>7931</t>
  </si>
  <si>
    <t>7941</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</si>
  <si>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</si>
  <si>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</si>
  <si>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</si>
  <si>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</si>
  <si>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</si>
  <si>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</si>
  <si>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</si>
  <si>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</si>
  <si>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</si>
  <si>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</si>
  <si>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</si>
  <si>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</si>
  <si>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</si>
  <si>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</si>
  <si>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</si>
  <si>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</si>
  <si>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</si>
  <si>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</si>
  <si>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8000</t>
  </si>
  <si>
    <t>8009</t>
  </si>
  <si>
    <t>8011</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</si>
  <si>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</si>
  <si>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</si>
  <si>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</si>
  <si>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</si>
  <si>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</si>
  <si>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</si>
  <si>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</si>
  <si>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</si>
  <si>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</si>
  <si>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</si>
  <si>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</si>
  <si>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</si>
  <si>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</si>
  <si>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</si>
  <si>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</si>
  <si>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自動車・モータボートの競走場</t>
  </si>
  <si>
    <t>8034</t>
  </si>
  <si>
    <t>競輪競技団</t>
  </si>
  <si>
    <t>8035</t>
  </si>
  <si>
    <t>競馬競技団</t>
  </si>
  <si>
    <t>8036</t>
  </si>
  <si>
    <t>自動車・モータボートの競技団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</si>
  <si>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</si>
  <si>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</si>
  <si>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</si>
  <si>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</si>
  <si>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</si>
  <si>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</si>
  <si>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</si>
  <si>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</si>
  <si>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</si>
  <si>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</si>
  <si>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</si>
  <si>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</si>
  <si>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</si>
  <si>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</si>
  <si>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</si>
  <si>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</si>
  <si>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</si>
  <si>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</si>
  <si>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</si>
  <si>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</si>
  <si>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</si>
  <si>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</si>
  <si>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</si>
  <si>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</si>
  <si>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</si>
  <si>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</si>
  <si>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</si>
  <si>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</si>
  <si>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</si>
  <si>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</si>
  <si>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</si>
  <si>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</si>
  <si>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</si>
  <si>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</si>
  <si>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</si>
  <si>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</si>
  <si>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</si>
  <si>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</si>
  <si>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</si>
  <si>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</si>
  <si>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</si>
  <si>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</si>
  <si>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</si>
  <si>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</si>
  <si>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</si>
  <si>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</si>
  <si>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</si>
  <si>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</si>
  <si>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8101</t>
  </si>
  <si>
    <t>8111</t>
  </si>
  <si>
    <t>8121</t>
  </si>
  <si>
    <t>8131</t>
  </si>
  <si>
    <t>8141</t>
  </si>
  <si>
    <t>高等学校</t>
  </si>
  <si>
    <t>8142</t>
  </si>
  <si>
    <t>中等教育学校</t>
  </si>
  <si>
    <t>8151</t>
  </si>
  <si>
    <t>8161</t>
  </si>
  <si>
    <t>大学</t>
  </si>
  <si>
    <t>8162</t>
  </si>
  <si>
    <t>短期大学</t>
  </si>
  <si>
    <t>8163</t>
  </si>
  <si>
    <t>高等専門学校</t>
  </si>
  <si>
    <t>8171</t>
  </si>
  <si>
    <t>専修学校</t>
  </si>
  <si>
    <t>8172</t>
  </si>
  <si>
    <t>各種学校</t>
  </si>
  <si>
    <t>8181</t>
  </si>
  <si>
    <t>8191</t>
  </si>
  <si>
    <t>幼保連携型認定こども園</t>
    <rPh sb="0" eb="1">
      <t>ヨウ</t>
    </rPh>
    <rPh sb="1" eb="2">
      <t>タモツ</t>
    </rPh>
    <rPh sb="2" eb="4">
      <t>レンケイ</t>
    </rPh>
    <rPh sb="4" eb="5">
      <t>カタ</t>
    </rPh>
    <rPh sb="5" eb="7">
      <t>ニンテイ</t>
    </rPh>
    <rPh sb="10" eb="11">
      <t>エン</t>
    </rPh>
    <phoneticPr fontId="15"/>
  </si>
  <si>
    <t>8200</t>
  </si>
  <si>
    <t>8209</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</si>
  <si>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</si>
  <si>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</si>
  <si>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</si>
  <si>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</si>
  <si>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</si>
  <si>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</si>
  <si>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</si>
  <si>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</si>
  <si>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</si>
  <si>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</si>
  <si>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</si>
  <si>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</si>
  <si>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</si>
  <si>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</si>
  <si>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</si>
  <si>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</si>
  <si>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</si>
  <si>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</si>
  <si>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</si>
  <si>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</si>
  <si>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</si>
  <si>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</si>
  <si>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</si>
  <si>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</si>
  <si>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</si>
  <si>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</si>
  <si>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</si>
  <si>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</si>
  <si>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</si>
  <si>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</si>
  <si>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</si>
  <si>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</si>
  <si>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</si>
  <si>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</si>
  <si>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</si>
  <si>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</si>
  <si>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8300</t>
  </si>
  <si>
    <t>8309</t>
  </si>
  <si>
    <t>8311</t>
  </si>
  <si>
    <t>一般病院</t>
  </si>
  <si>
    <t>8312</t>
  </si>
  <si>
    <t>精神科病院</t>
  </si>
  <si>
    <t>8321</t>
  </si>
  <si>
    <t>有床診療所</t>
  </si>
  <si>
    <t>8322</t>
  </si>
  <si>
    <t>無床診療所</t>
  </si>
  <si>
    <t>8331</t>
  </si>
  <si>
    <t>8341</t>
  </si>
  <si>
    <t>助産所</t>
  </si>
  <si>
    <t>8342</t>
  </si>
  <si>
    <t>看護業</t>
  </si>
  <si>
    <t>8351</t>
  </si>
  <si>
    <t>あん摩マッサージ指圧師・はり師・きゅう師・柔道整復師の施術所</t>
  </si>
  <si>
    <t>8359</t>
  </si>
  <si>
    <t>その他の療術業</t>
  </si>
  <si>
    <t>8361</t>
  </si>
  <si>
    <t>歯科技工所</t>
  </si>
  <si>
    <t>8369</t>
  </si>
  <si>
    <t>その他の医療に附帯するサービス業</t>
  </si>
  <si>
    <t>8400</t>
  </si>
  <si>
    <t>8409</t>
  </si>
  <si>
    <t>8411</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</si>
  <si>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</si>
  <si>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</si>
  <si>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</si>
  <si>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</si>
  <si>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</si>
  <si>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</si>
  <si>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</si>
  <si>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</si>
  <si>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</si>
  <si>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</si>
  <si>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</si>
  <si>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</si>
  <si>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</si>
  <si>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</si>
  <si>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</si>
  <si>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</si>
  <si>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8500</t>
  </si>
  <si>
    <t>8509</t>
  </si>
  <si>
    <t>8511</t>
  </si>
  <si>
    <t>8521</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</si>
  <si>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</si>
  <si>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</si>
  <si>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</si>
  <si>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</si>
  <si>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</si>
  <si>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</si>
  <si>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</si>
  <si>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</si>
  <si>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</si>
  <si>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</si>
  <si>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</si>
  <si>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</si>
  <si>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</si>
  <si>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</si>
  <si>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</si>
  <si>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</si>
  <si>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</si>
  <si>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</si>
  <si>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</si>
  <si>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</si>
  <si>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</si>
  <si>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</si>
  <si>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</si>
  <si>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</si>
  <si>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</si>
  <si>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</si>
  <si>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8601</t>
  </si>
  <si>
    <t>8611</t>
  </si>
  <si>
    <t>8621</t>
  </si>
  <si>
    <t>簡易郵便局</t>
  </si>
  <si>
    <t>8629</t>
  </si>
  <si>
    <t>その他の郵便局受託業</t>
  </si>
  <si>
    <t>8701</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</si>
  <si>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</si>
  <si>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</si>
  <si>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</si>
  <si>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</si>
  <si>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</si>
  <si>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</si>
  <si>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</si>
  <si>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</si>
  <si>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</si>
  <si>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8800</t>
  </si>
  <si>
    <t>8809</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</si>
  <si>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</si>
  <si>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</si>
  <si>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</si>
  <si>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</si>
  <si>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</si>
  <si>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</si>
  <si>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</si>
  <si>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</si>
  <si>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</si>
  <si>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</si>
  <si>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</si>
  <si>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</si>
  <si>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</si>
  <si>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</si>
  <si>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</si>
  <si>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</si>
  <si>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</si>
  <si>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</si>
  <si>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</si>
  <si>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</si>
  <si>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</si>
  <si>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</si>
  <si>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</si>
  <si>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</si>
  <si>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</si>
  <si>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</si>
  <si>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8901</t>
  </si>
  <si>
    <t>8911</t>
  </si>
  <si>
    <t>自動車一般整備業</t>
  </si>
  <si>
    <t>8919</t>
  </si>
  <si>
    <t>その他の自動車整備業</t>
  </si>
  <si>
    <t>9000</t>
  </si>
  <si>
    <t>9009</t>
  </si>
  <si>
    <t>9011</t>
  </si>
  <si>
    <t>一般機械修理業（建設・鉱山機械を除く）</t>
  </si>
  <si>
    <t>9012</t>
  </si>
  <si>
    <t>建設・鉱山機械整備業</t>
  </si>
  <si>
    <t>9021</t>
  </si>
  <si>
    <t>9031</t>
  </si>
  <si>
    <t>9091</t>
  </si>
  <si>
    <t>家具修理業</t>
  </si>
  <si>
    <t>9092</t>
  </si>
  <si>
    <t>時計修理業</t>
  </si>
  <si>
    <t>9093</t>
  </si>
  <si>
    <t>履物修理業</t>
  </si>
  <si>
    <t>9094</t>
  </si>
  <si>
    <t>かじ業</t>
  </si>
  <si>
    <t>9099</t>
  </si>
  <si>
    <t>他に分類されない修理業</t>
  </si>
  <si>
    <t>9100</t>
  </si>
  <si>
    <t>9109</t>
  </si>
  <si>
    <t>9111</t>
  </si>
  <si>
    <t>9121</t>
  </si>
  <si>
    <t>9200</t>
  </si>
  <si>
    <t>9209</t>
  </si>
  <si>
    <t>9211</t>
  </si>
  <si>
    <t>速記・ワープロ入力業</t>
  </si>
  <si>
    <t>9212</t>
  </si>
  <si>
    <t>複写業</t>
  </si>
  <si>
    <t>9221</t>
  </si>
  <si>
    <t>ビルメンテナンス業</t>
  </si>
  <si>
    <t>9229</t>
  </si>
  <si>
    <t>その他の建物サービス業</t>
  </si>
  <si>
    <t>9231</t>
  </si>
  <si>
    <t>9291</t>
  </si>
  <si>
    <t>ディスプレイ業</t>
  </si>
  <si>
    <t>9292</t>
  </si>
  <si>
    <t>産業用設備洗浄業</t>
  </si>
  <si>
    <t>9293</t>
  </si>
  <si>
    <t>看板書き業</t>
  </si>
  <si>
    <t>9294</t>
  </si>
  <si>
    <t>コールセンター業</t>
    <rPh sb="7" eb="8">
      <t>ギョウ</t>
    </rPh>
    <phoneticPr fontId="15"/>
  </si>
  <si>
    <t>9299</t>
  </si>
  <si>
    <t>他に分類されないその他の事業サービス業</t>
  </si>
  <si>
    <t>9311</t>
  </si>
  <si>
    <t>実業団体</t>
  </si>
  <si>
    <t>9312</t>
  </si>
  <si>
    <t>同業団体</t>
  </si>
  <si>
    <t>9321</t>
  </si>
  <si>
    <t>9331</t>
  </si>
  <si>
    <t>学術団体</t>
  </si>
  <si>
    <t>9332</t>
  </si>
  <si>
    <t>文化団体</t>
  </si>
  <si>
    <t>9341</t>
  </si>
  <si>
    <t>9399</t>
  </si>
  <si>
    <t>9411</t>
  </si>
  <si>
    <t>神社，神道教会</t>
  </si>
  <si>
    <t>9412</t>
  </si>
  <si>
    <t>教派事務所</t>
  </si>
  <si>
    <t>9421</t>
  </si>
  <si>
    <t>寺院，仏教教会</t>
  </si>
  <si>
    <t>9422</t>
  </si>
  <si>
    <t>宗派事務所</t>
  </si>
  <si>
    <t>9431</t>
  </si>
  <si>
    <t>キリスト教教会，修道院</t>
  </si>
  <si>
    <t>9432</t>
  </si>
  <si>
    <t>教団事務所</t>
  </si>
  <si>
    <t>9491</t>
  </si>
  <si>
    <t>その他の宗教の教会</t>
  </si>
  <si>
    <t>9499</t>
  </si>
  <si>
    <t>その他の宗教の教団事務所</t>
  </si>
  <si>
    <t>9501</t>
  </si>
  <si>
    <t>9511</t>
  </si>
  <si>
    <t>9521</t>
  </si>
  <si>
    <t>9599</t>
  </si>
  <si>
    <t>9611</t>
  </si>
  <si>
    <t>9699</t>
  </si>
  <si>
    <t>9711</t>
  </si>
  <si>
    <t>9721</t>
  </si>
  <si>
    <t>9731</t>
  </si>
  <si>
    <t>9811</t>
  </si>
  <si>
    <t>9821</t>
  </si>
  <si>
    <t>エネルギー名称区分</t>
    <rPh sb="5" eb="7">
      <t>メイショウ</t>
    </rPh>
    <rPh sb="7" eb="9">
      <t>クブン</t>
    </rPh>
    <phoneticPr fontId="16"/>
  </si>
  <si>
    <t>エネルギー区分</t>
    <rPh sb="5" eb="7">
      <t>クブン</t>
    </rPh>
    <phoneticPr fontId="16"/>
  </si>
  <si>
    <t>単位</t>
    <rPh sb="0" eb="2">
      <t>タンイ</t>
    </rPh>
    <phoneticPr fontId="23"/>
  </si>
  <si>
    <t>単位発熱量</t>
    <rPh sb="2" eb="4">
      <t>ハツネツ</t>
    </rPh>
    <rPh sb="4" eb="5">
      <t>リョウ</t>
    </rPh>
    <phoneticPr fontId="16"/>
  </si>
  <si>
    <t>炭素排出係数</t>
    <rPh sb="0" eb="2">
      <t>タンソ</t>
    </rPh>
    <rPh sb="2" eb="4">
      <t>ハイシュツ</t>
    </rPh>
    <rPh sb="4" eb="6">
      <t>ケイスウ</t>
    </rPh>
    <phoneticPr fontId="16"/>
  </si>
  <si>
    <t>燃料及び熱の種類</t>
    <phoneticPr fontId="23"/>
  </si>
  <si>
    <t>化
石
燃
料</t>
    <phoneticPr fontId="16"/>
  </si>
  <si>
    <t>原油（コンデンセートを除く。）</t>
    <rPh sb="11" eb="12">
      <t>ノゾ</t>
    </rPh>
    <phoneticPr fontId="23"/>
  </si>
  <si>
    <t>化石燃料</t>
    <rPh sb="0" eb="2">
      <t>カセキ</t>
    </rPh>
    <rPh sb="2" eb="4">
      <t>ネンリョウ</t>
    </rPh>
    <phoneticPr fontId="16"/>
  </si>
  <si>
    <t>kl</t>
    <phoneticPr fontId="23"/>
  </si>
  <si>
    <t>GＪ/ｋｌ</t>
  </si>
  <si>
    <t>tC/GJ</t>
  </si>
  <si>
    <t>原油のうちコンデンセート(NGL)</t>
    <rPh sb="0" eb="2">
      <t>ゲンユ</t>
    </rPh>
    <phoneticPr fontId="16"/>
  </si>
  <si>
    <t>揮発油</t>
    <phoneticPr fontId="16"/>
  </si>
  <si>
    <t>揮発油</t>
  </si>
  <si>
    <t>ナフサ</t>
  </si>
  <si>
    <t>ジェット燃料油</t>
    <phoneticPr fontId="16"/>
  </si>
  <si>
    <t>ジェット燃料油</t>
  </si>
  <si>
    <t>灯油</t>
  </si>
  <si>
    <t>軽油</t>
  </si>
  <si>
    <t>Ａ重油</t>
  </si>
  <si>
    <t>Ｂ・Ｃ重油</t>
  </si>
  <si>
    <t>石油アスファルト</t>
  </si>
  <si>
    <t>t</t>
    <phoneticPr fontId="23"/>
  </si>
  <si>
    <t>GＪ/ｔ</t>
  </si>
  <si>
    <t>石油コークス</t>
  </si>
  <si>
    <t>石油ガス</t>
  </si>
  <si>
    <t>液化石油ガス     (LPG)</t>
    <phoneticPr fontId="23"/>
  </si>
  <si>
    <t>石油系炭化水素ガス</t>
  </si>
  <si>
    <t>石油系炭化水素ガス</t>
    <phoneticPr fontId="23"/>
  </si>
  <si>
    <t>GＪ/千ｍ３</t>
  </si>
  <si>
    <t>液化天然ガス     (LNG)</t>
    <phoneticPr fontId="23"/>
  </si>
  <si>
    <t>可燃性
天然ガス</t>
  </si>
  <si>
    <t>その他可燃性天然ガス</t>
  </si>
  <si>
    <t>石炭</t>
  </si>
  <si>
    <t>原料炭</t>
    <rPh sb="0" eb="2">
      <t>ゲンリョウ</t>
    </rPh>
    <rPh sb="2" eb="3">
      <t>スミ</t>
    </rPh>
    <phoneticPr fontId="16"/>
  </si>
  <si>
    <t>輸入原料炭</t>
    <rPh sb="0" eb="2">
      <t>ユニュウ</t>
    </rPh>
    <phoneticPr fontId="20"/>
  </si>
  <si>
    <t>コークス用原料炭</t>
    <rPh sb="4" eb="5">
      <t>ヨウ</t>
    </rPh>
    <rPh sb="5" eb="7">
      <t>ゲンリョウ</t>
    </rPh>
    <rPh sb="7" eb="8">
      <t>スミ</t>
    </rPh>
    <phoneticPr fontId="16"/>
  </si>
  <si>
    <t>ー</t>
    <phoneticPr fontId="27"/>
  </si>
  <si>
    <t>吹込用原料炭</t>
    <rPh sb="0" eb="2">
      <t>フキコ</t>
    </rPh>
    <rPh sb="2" eb="3">
      <t>ヨウ</t>
    </rPh>
    <rPh sb="3" eb="5">
      <t>ゲンリョウ</t>
    </rPh>
    <rPh sb="5" eb="6">
      <t>スミ</t>
    </rPh>
    <phoneticPr fontId="16"/>
  </si>
  <si>
    <t>一般炭</t>
    <rPh sb="0" eb="2">
      <t>イッパン</t>
    </rPh>
    <rPh sb="2" eb="3">
      <t>スミ</t>
    </rPh>
    <phoneticPr fontId="16"/>
  </si>
  <si>
    <t>輸入一般炭</t>
  </si>
  <si>
    <t>国産一般炭</t>
  </si>
  <si>
    <t>輸入無煙炭</t>
    <rPh sb="0" eb="2">
      <t>ユニュウ</t>
    </rPh>
    <rPh sb="2" eb="5">
      <t>ムエンタン</t>
    </rPh>
    <phoneticPr fontId="16"/>
  </si>
  <si>
    <t>石炭コークス</t>
  </si>
  <si>
    <t>コールタール</t>
  </si>
  <si>
    <t>コークス炉ガス</t>
  </si>
  <si>
    <t>高炉ガス</t>
  </si>
  <si>
    <t>発電用高炉ガス</t>
    <rPh sb="0" eb="3">
      <t>ハツデンヨウ</t>
    </rPh>
    <phoneticPr fontId="20"/>
  </si>
  <si>
    <t>転炉ガス</t>
  </si>
  <si>
    <t>都市ガス</t>
  </si>
  <si>
    <t>都市ガス</t>
    <phoneticPr fontId="23"/>
  </si>
  <si>
    <r>
      <t>千m</t>
    </r>
    <r>
      <rPr>
        <vertAlign val="superscript"/>
        <sz val="10"/>
        <color indexed="8"/>
        <rFont val="メイリオ"/>
        <family val="3"/>
        <charset val="128"/>
      </rPr>
      <t>3</t>
    </r>
    <rPh sb="0" eb="1">
      <t>セン</t>
    </rPh>
    <phoneticPr fontId="23"/>
  </si>
  <si>
    <t>tC/GJ</t>
    <phoneticPr fontId="16"/>
  </si>
  <si>
    <t>テナント空調等推計値</t>
  </si>
  <si>
    <t>テナント空調等推計値</t>
    <phoneticPr fontId="23"/>
  </si>
  <si>
    <t>GJ</t>
    <phoneticPr fontId="23"/>
  </si>
  <si>
    <t>GＪ/GＪ</t>
  </si>
  <si>
    <t>tCO2/GJ</t>
    <phoneticPr fontId="16"/>
  </si>
  <si>
    <t>非
化
石
燃
料</t>
    <rPh sb="0" eb="1">
      <t>ヒ</t>
    </rPh>
    <rPh sb="2" eb="3">
      <t>カ</t>
    </rPh>
    <phoneticPr fontId="27"/>
  </si>
  <si>
    <t>黒液</t>
    <rPh sb="0" eb="1">
      <t>クロ</t>
    </rPh>
    <rPh sb="1" eb="2">
      <t>エキ</t>
    </rPh>
    <phoneticPr fontId="2"/>
  </si>
  <si>
    <t>非化石燃料</t>
    <rPh sb="0" eb="3">
      <t>ヒカセキ</t>
    </rPh>
    <rPh sb="3" eb="5">
      <t>ネンリョウ</t>
    </rPh>
    <phoneticPr fontId="16"/>
  </si>
  <si>
    <t>t</t>
  </si>
  <si>
    <t>GJ/t</t>
  </si>
  <si>
    <t>木材</t>
    <rPh sb="0" eb="2">
      <t>モクザイ</t>
    </rPh>
    <phoneticPr fontId="2"/>
  </si>
  <si>
    <t>木質廃材</t>
    <rPh sb="0" eb="2">
      <t>モクシツ</t>
    </rPh>
    <rPh sb="2" eb="4">
      <t>ハイザイ</t>
    </rPh>
    <phoneticPr fontId="2"/>
  </si>
  <si>
    <t>バイオエタノール</t>
  </si>
  <si>
    <t>kl</t>
  </si>
  <si>
    <t>GJ/kl</t>
  </si>
  <si>
    <t>バイオディーゼル</t>
  </si>
  <si>
    <t>バイオガス</t>
  </si>
  <si>
    <t>千㎥</t>
  </si>
  <si>
    <t>GJ/千㎥</t>
  </si>
  <si>
    <t>その他バイオマス</t>
    <rPh sb="2" eb="3">
      <t>タ</t>
    </rPh>
    <phoneticPr fontId="2"/>
  </si>
  <si>
    <t>RDF</t>
  </si>
  <si>
    <t>RPF</t>
  </si>
  <si>
    <t>廃タイヤ</t>
    <rPh sb="0" eb="1">
      <t>ハイ</t>
    </rPh>
    <phoneticPr fontId="2"/>
  </si>
  <si>
    <t>廃プラスチック_一般廃棄物</t>
    <phoneticPr fontId="16"/>
  </si>
  <si>
    <t>廃プラスチック</t>
    <rPh sb="0" eb="1">
      <t>ハイ</t>
    </rPh>
    <phoneticPr fontId="2"/>
  </si>
  <si>
    <t>一般廃棄物</t>
    <phoneticPr fontId="16"/>
  </si>
  <si>
    <t>廃プラスチック_産業廃棄物</t>
    <phoneticPr fontId="16"/>
  </si>
  <si>
    <t>産業廃棄物</t>
    <phoneticPr fontId="16"/>
  </si>
  <si>
    <t>廃油</t>
    <rPh sb="0" eb="2">
      <t>ハイユ</t>
    </rPh>
    <phoneticPr fontId="2"/>
  </si>
  <si>
    <t>廃棄物ガス</t>
    <rPh sb="0" eb="3">
      <t>ハイキブツ</t>
    </rPh>
    <phoneticPr fontId="2"/>
  </si>
  <si>
    <t>混合廃材</t>
    <rPh sb="0" eb="2">
      <t>コンゴウ</t>
    </rPh>
    <rPh sb="2" eb="4">
      <t>ハイザイ</t>
    </rPh>
    <phoneticPr fontId="2"/>
  </si>
  <si>
    <t>水素</t>
    <rPh sb="0" eb="2">
      <t>スイソ</t>
    </rPh>
    <phoneticPr fontId="2"/>
  </si>
  <si>
    <t>アンモニア</t>
  </si>
  <si>
    <t>熱</t>
    <rPh sb="0" eb="1">
      <t>ネツ</t>
    </rPh>
    <phoneticPr fontId="16"/>
  </si>
  <si>
    <t>産業用蒸気</t>
    <rPh sb="0" eb="3">
      <t>サンギョウヨウ</t>
    </rPh>
    <rPh sb="3" eb="5">
      <t>ジョウキ</t>
    </rPh>
    <phoneticPr fontId="28"/>
  </si>
  <si>
    <t>産業用蒸気_化石</t>
    <rPh sb="0" eb="3">
      <t>サンギョウヨウ</t>
    </rPh>
    <rPh sb="3" eb="5">
      <t>ジョウキ</t>
    </rPh>
    <phoneticPr fontId="28"/>
  </si>
  <si>
    <t>産業用以外の蒸気</t>
    <rPh sb="0" eb="2">
      <t>サンギョウ</t>
    </rPh>
    <rPh sb="2" eb="3">
      <t>ヨウ</t>
    </rPh>
    <rPh sb="3" eb="5">
      <t>イガイ</t>
    </rPh>
    <rPh sb="6" eb="8">
      <t>ジョウキ</t>
    </rPh>
    <phoneticPr fontId="28"/>
  </si>
  <si>
    <t>産業用以外の蒸気_化石</t>
    <rPh sb="0" eb="2">
      <t>サンギョウ</t>
    </rPh>
    <rPh sb="2" eb="3">
      <t>ヨウ</t>
    </rPh>
    <rPh sb="3" eb="5">
      <t>イガイ</t>
    </rPh>
    <rPh sb="6" eb="8">
      <t>ジョウキ</t>
    </rPh>
    <phoneticPr fontId="28"/>
  </si>
  <si>
    <t>温水</t>
    <rPh sb="0" eb="2">
      <t>オンスイ</t>
    </rPh>
    <phoneticPr fontId="28"/>
  </si>
  <si>
    <t>温水_化石</t>
    <rPh sb="0" eb="2">
      <t>オンスイ</t>
    </rPh>
    <phoneticPr fontId="28"/>
  </si>
  <si>
    <t>冷水</t>
    <rPh sb="0" eb="2">
      <t>レイスイ</t>
    </rPh>
    <phoneticPr fontId="28"/>
  </si>
  <si>
    <t>冷水_化石</t>
    <rPh sb="0" eb="2">
      <t>レイスイ</t>
    </rPh>
    <phoneticPr fontId="28"/>
  </si>
  <si>
    <t>産業用蒸気_非化石</t>
    <rPh sb="0" eb="3">
      <t>サンギョウヨウ</t>
    </rPh>
    <rPh sb="3" eb="5">
      <t>ジョウキ</t>
    </rPh>
    <rPh sb="6" eb="7">
      <t>ヒ</t>
    </rPh>
    <rPh sb="7" eb="9">
      <t>カセキ</t>
    </rPh>
    <phoneticPr fontId="28"/>
  </si>
  <si>
    <t>産業用以外の蒸気_非化石</t>
    <rPh sb="0" eb="2">
      <t>サンギョウ</t>
    </rPh>
    <rPh sb="2" eb="3">
      <t>ヨウ</t>
    </rPh>
    <rPh sb="3" eb="5">
      <t>イガイ</t>
    </rPh>
    <rPh sb="6" eb="8">
      <t>ジョウキ</t>
    </rPh>
    <phoneticPr fontId="28"/>
  </si>
  <si>
    <t>温水_非化石</t>
    <rPh sb="0" eb="2">
      <t>オンスイ</t>
    </rPh>
    <phoneticPr fontId="28"/>
  </si>
  <si>
    <t>冷水_非化石</t>
    <rPh sb="0" eb="2">
      <t>レイスイ</t>
    </rPh>
    <phoneticPr fontId="28"/>
  </si>
  <si>
    <t>GＪ/GＪ</t>
    <phoneticPr fontId="16"/>
  </si>
  <si>
    <t>地熱</t>
    <rPh sb="0" eb="2">
      <t>チネツ</t>
    </rPh>
    <phoneticPr fontId="2"/>
  </si>
  <si>
    <t>温泉熱</t>
    <rPh sb="0" eb="3">
      <t>オンセンネツ</t>
    </rPh>
    <phoneticPr fontId="2"/>
  </si>
  <si>
    <t>太陽熱</t>
    <rPh sb="0" eb="3">
      <t>タイヨウネツ</t>
    </rPh>
    <phoneticPr fontId="2"/>
  </si>
  <si>
    <t>雪氷熱</t>
    <rPh sb="0" eb="1">
      <t>セツ</t>
    </rPh>
    <rPh sb="1" eb="2">
      <t>コオリ</t>
    </rPh>
    <rPh sb="2" eb="3">
      <t>ネツ</t>
    </rPh>
    <phoneticPr fontId="2"/>
  </si>
  <si>
    <t>電
気</t>
    <rPh sb="0" eb="1">
      <t>デン</t>
    </rPh>
    <rPh sb="2" eb="3">
      <t>キ</t>
    </rPh>
    <phoneticPr fontId="16"/>
  </si>
  <si>
    <t>電気</t>
    <rPh sb="0" eb="2">
      <t>デンキ</t>
    </rPh>
    <phoneticPr fontId="16"/>
  </si>
  <si>
    <t>千kWh</t>
    <rPh sb="0" eb="1">
      <t>セン</t>
    </rPh>
    <phoneticPr fontId="23"/>
  </si>
  <si>
    <t>GＪ/千kWh</t>
    <rPh sb="3" eb="4">
      <t>セン</t>
    </rPh>
    <phoneticPr fontId="27"/>
  </si>
  <si>
    <t>自家発電</t>
  </si>
  <si>
    <t>自家発電</t>
    <rPh sb="0" eb="2">
      <t>ジカ</t>
    </rPh>
    <rPh sb="2" eb="4">
      <t>ハツデン</t>
    </rPh>
    <phoneticPr fontId="28"/>
  </si>
  <si>
    <t>その他買電</t>
    <phoneticPr fontId="16"/>
  </si>
  <si>
    <t>自己託送以外_電気事業者からの買電_化石分</t>
  </si>
  <si>
    <t>自己託送
以外</t>
    <rPh sb="0" eb="2">
      <t>ジコ</t>
    </rPh>
    <rPh sb="2" eb="4">
      <t>タクソウ</t>
    </rPh>
    <rPh sb="5" eb="7">
      <t>イガイ</t>
    </rPh>
    <phoneticPr fontId="16"/>
  </si>
  <si>
    <t>電気事業者
からの買電</t>
    <phoneticPr fontId="27"/>
  </si>
  <si>
    <t>化石分</t>
    <rPh sb="0" eb="3">
      <t>カセキブン</t>
    </rPh>
    <phoneticPr fontId="27"/>
  </si>
  <si>
    <t>自己託送以外_電気事業者からの買電_非化石分</t>
  </si>
  <si>
    <t>非化石分</t>
    <rPh sb="0" eb="3">
      <t>ヒカセキ</t>
    </rPh>
    <rPh sb="3" eb="4">
      <t>ブン</t>
    </rPh>
    <phoneticPr fontId="27"/>
  </si>
  <si>
    <t>オフサイト型
PPA</t>
    <rPh sb="5" eb="6">
      <t>ガタ</t>
    </rPh>
    <phoneticPr fontId="16"/>
  </si>
  <si>
    <t>非化石
重み付けなし</t>
    <rPh sb="0" eb="3">
      <t>ヒカセキ</t>
    </rPh>
    <rPh sb="4" eb="5">
      <t>オモ</t>
    </rPh>
    <rPh sb="6" eb="7">
      <t>ツ</t>
    </rPh>
    <phoneticPr fontId="27"/>
  </si>
  <si>
    <t>自己託送以外_オフサイト型PPA_非化石重み付けなし</t>
    <phoneticPr fontId="16"/>
  </si>
  <si>
    <t>自己託送以外_オフサイト型PPA_非化石重み付けあり</t>
  </si>
  <si>
    <t>非化石
重み付けあり</t>
    <rPh sb="0" eb="3">
      <t>ヒカセキ</t>
    </rPh>
    <rPh sb="4" eb="5">
      <t>オモ</t>
    </rPh>
    <rPh sb="6" eb="7">
      <t>ツ</t>
    </rPh>
    <phoneticPr fontId="27"/>
  </si>
  <si>
    <t>自己託送_非燃料由来の非化石電気</t>
  </si>
  <si>
    <t>自己託送</t>
    <phoneticPr fontId="16"/>
  </si>
  <si>
    <t>非燃料由来の非化石電気</t>
    <rPh sb="0" eb="1">
      <t>ヒ</t>
    </rPh>
    <rPh sb="1" eb="3">
      <t>ネンリョウ</t>
    </rPh>
    <rPh sb="3" eb="5">
      <t>ユライ</t>
    </rPh>
    <rPh sb="6" eb="9">
      <t>ヒカセキ</t>
    </rPh>
    <rPh sb="9" eb="11">
      <t>デンキ</t>
    </rPh>
    <phoneticPr fontId="2"/>
  </si>
  <si>
    <t>自己託送_上記以外_化石分</t>
  </si>
  <si>
    <t>上記以外</t>
    <rPh sb="0" eb="2">
      <t>ジョウキ</t>
    </rPh>
    <rPh sb="2" eb="4">
      <t>イガイ</t>
    </rPh>
    <phoneticPr fontId="16"/>
  </si>
  <si>
    <t>自己託送_上記以外_非化石分</t>
  </si>
  <si>
    <t>自営線_非燃料由来の非化石電気</t>
  </si>
  <si>
    <t>自営線</t>
    <rPh sb="0" eb="3">
      <t>ジエイセン</t>
    </rPh>
    <phoneticPr fontId="16"/>
  </si>
  <si>
    <t>自営線_上記以外_化石分</t>
  </si>
  <si>
    <t>自営線_上記以外_非化石分</t>
  </si>
  <si>
    <t>自家発電_太陽光</t>
  </si>
  <si>
    <t>自家発電</t>
    <rPh sb="0" eb="2">
      <t>ジカ</t>
    </rPh>
    <rPh sb="2" eb="4">
      <t>ハツデン</t>
    </rPh>
    <phoneticPr fontId="16"/>
  </si>
  <si>
    <t>太陽光</t>
    <rPh sb="0" eb="3">
      <t>タイヨウコウ</t>
    </rPh>
    <phoneticPr fontId="16"/>
  </si>
  <si>
    <t>自家発電_風力</t>
  </si>
  <si>
    <t>風力</t>
    <rPh sb="0" eb="2">
      <t>フウリョク</t>
    </rPh>
    <phoneticPr fontId="16"/>
  </si>
  <si>
    <t>自家発電_地熱</t>
  </si>
  <si>
    <t>地熱</t>
    <rPh sb="0" eb="2">
      <t>チネツ</t>
    </rPh>
    <phoneticPr fontId="16"/>
  </si>
  <si>
    <t>自家発電_水力</t>
  </si>
  <si>
    <t>水力</t>
    <rPh sb="0" eb="2">
      <t>スイリョク</t>
    </rPh>
    <phoneticPr fontId="16"/>
  </si>
  <si>
    <t>自家発電_その他_非燃料由来の非化石</t>
  </si>
  <si>
    <t>その他</t>
    <rPh sb="2" eb="3">
      <t>タ</t>
    </rPh>
    <phoneticPr fontId="2"/>
  </si>
  <si>
    <t>非燃料由来
の非化石</t>
    <phoneticPr fontId="16"/>
  </si>
  <si>
    <t>自家発電_その他_上記以外</t>
  </si>
  <si>
    <t>上記以外</t>
    <rPh sb="0" eb="2">
      <t>ジョウキ</t>
    </rPh>
    <rPh sb="2" eb="4">
      <t>イガイ</t>
    </rPh>
    <phoneticPr fontId="27"/>
  </si>
  <si>
    <t>2023年度省エネ法・温対法改正以降　燃料種別の単位発熱量及び炭素排出係数</t>
    <rPh sb="6" eb="7">
      <t>ショウ</t>
    </rPh>
    <rPh sb="9" eb="10">
      <t>ホウ</t>
    </rPh>
    <rPh sb="11" eb="14">
      <t>オンタイホウ</t>
    </rPh>
    <rPh sb="14" eb="16">
      <t>カイセイ</t>
    </rPh>
    <rPh sb="16" eb="18">
      <t>イコウ</t>
    </rPh>
    <rPh sb="31" eb="33">
      <t>タンソ</t>
    </rPh>
    <phoneticPr fontId="23"/>
  </si>
  <si>
    <t>kg</t>
    <phoneticPr fontId="4"/>
  </si>
  <si>
    <t>MJ</t>
    <phoneticPr fontId="4"/>
  </si>
  <si>
    <t>代表的なエネルギー</t>
  </si>
  <si>
    <t>表示区分</t>
    <rPh sb="0" eb="2">
      <t>ヒョウジ</t>
    </rPh>
    <rPh sb="2" eb="4">
      <t>クブン</t>
    </rPh>
    <phoneticPr fontId="4"/>
  </si>
  <si>
    <t>プルダウン</t>
  </si>
  <si>
    <t>プロパンガスの単位換算係数</t>
    <rPh sb="7" eb="9">
      <t>タンイ</t>
    </rPh>
    <rPh sb="9" eb="11">
      <t>カンザン</t>
    </rPh>
    <rPh sb="11" eb="13">
      <t>ケイスウ</t>
    </rPh>
    <phoneticPr fontId="4"/>
  </si>
  <si>
    <t>kg/m3</t>
    <phoneticPr fontId="4"/>
  </si>
  <si>
    <t>第１年度のときの単位換算係数を確認して入力　※計画期間ごとに更新</t>
    <rPh sb="0" eb="1">
      <t>ダイ</t>
    </rPh>
    <rPh sb="2" eb="4">
      <t>ネンド</t>
    </rPh>
    <rPh sb="8" eb="10">
      <t>タンイ</t>
    </rPh>
    <rPh sb="10" eb="12">
      <t>カンザン</t>
    </rPh>
    <rPh sb="12" eb="14">
      <t>ケイスウ</t>
    </rPh>
    <rPh sb="15" eb="17">
      <t>カクニン</t>
    </rPh>
    <rPh sb="19" eb="21">
      <t>ニュウリョク</t>
    </rPh>
    <rPh sb="23" eb="25">
      <t>ケイカク</t>
    </rPh>
    <rPh sb="25" eb="27">
      <t>キカン</t>
    </rPh>
    <rPh sb="30" eb="32">
      <t>コウシン</t>
    </rPh>
    <phoneticPr fontId="4"/>
  </si>
  <si>
    <t>電気事業者からの買電</t>
    <rPh sb="8" eb="10">
      <t>カイデン</t>
    </rPh>
    <phoneticPr fontId="4"/>
  </si>
  <si>
    <t>電気事業者からの買電</t>
    <rPh sb="0" eb="2">
      <t>デンキ</t>
    </rPh>
    <rPh sb="2" eb="5">
      <t>ジギョウシャ</t>
    </rPh>
    <rPh sb="8" eb="10">
      <t>カイデン</t>
    </rPh>
    <phoneticPr fontId="28"/>
  </si>
  <si>
    <t>-</t>
  </si>
  <si>
    <t>※A~K列は特定事業者用様式からコピーする</t>
    <rPh sb="4" eb="5">
      <t>レツ</t>
    </rPh>
    <rPh sb="6" eb="8">
      <t>トクテイ</t>
    </rPh>
    <rPh sb="8" eb="11">
      <t>ジギョウシャ</t>
    </rPh>
    <rPh sb="11" eb="12">
      <t>ヨウ</t>
    </rPh>
    <rPh sb="12" eb="14">
      <t>ヨウシキ</t>
    </rPh>
    <phoneticPr fontId="4"/>
  </si>
  <si>
    <t>代表的なエネルギー
入力シートの表示名</t>
    <rPh sb="0" eb="3">
      <t>ダイヒョウテキ</t>
    </rPh>
    <rPh sb="10" eb="12">
      <t>ニュウリョク</t>
    </rPh>
    <rPh sb="16" eb="18">
      <t>ヒョウジ</t>
    </rPh>
    <rPh sb="18" eb="19">
      <t>メイ</t>
    </rPh>
    <phoneticPr fontId="4"/>
  </si>
  <si>
    <t>Ａ重油</t>
    <phoneticPr fontId="4"/>
  </si>
  <si>
    <t>プルダウンのエネルギー
入力シートの表示名</t>
    <rPh sb="12" eb="14">
      <t>ニュウリョク</t>
    </rPh>
    <rPh sb="18" eb="20">
      <t>ヒョウジ</t>
    </rPh>
    <rPh sb="20" eb="21">
      <t>メイ</t>
    </rPh>
    <phoneticPr fontId="4"/>
  </si>
  <si>
    <t>原油（コンデンセートを除く。）</t>
  </si>
  <si>
    <t>原油のうちコンデンセート(NGL)</t>
  </si>
  <si>
    <t>輸入原料炭</t>
  </si>
  <si>
    <t>コークス用原料炭</t>
  </si>
  <si>
    <t>吹込用原料炭</t>
  </si>
  <si>
    <t>輸入無煙炭</t>
  </si>
  <si>
    <t>発電用高炉ガス</t>
  </si>
  <si>
    <t>黒液</t>
  </si>
  <si>
    <t>木材</t>
  </si>
  <si>
    <t>木質廃材</t>
  </si>
  <si>
    <t>その他バイオマス</t>
  </si>
  <si>
    <t>廃タイヤ</t>
  </si>
  <si>
    <t>廃プラスチック_一般廃棄物</t>
  </si>
  <si>
    <t>廃プラスチック_産業廃棄物</t>
  </si>
  <si>
    <t>廃油</t>
  </si>
  <si>
    <t>廃棄物ガス</t>
  </si>
  <si>
    <t>混合廃材</t>
  </si>
  <si>
    <t>水素</t>
  </si>
  <si>
    <t>入力シートの表示名</t>
    <rPh sb="0" eb="2">
      <t>ニュウリョク</t>
    </rPh>
    <rPh sb="6" eb="8">
      <t>ヒョウジ</t>
    </rPh>
    <rPh sb="8" eb="9">
      <t>メイ</t>
    </rPh>
    <phoneticPr fontId="4"/>
  </si>
  <si>
    <t>【要入力】</t>
    <rPh sb="1" eb="2">
      <t>ヨウ</t>
    </rPh>
    <rPh sb="2" eb="4">
      <t>ニュウリョク</t>
    </rPh>
    <phoneticPr fontId="4"/>
  </si>
  <si>
    <t>【自動】</t>
    <rPh sb="1" eb="3">
      <t>ジドウ</t>
    </rPh>
    <phoneticPr fontId="4"/>
  </si>
  <si>
    <t>上記以外のエネルギー（選択）</t>
    <rPh sb="0" eb="2">
      <t>ジョウキ</t>
    </rPh>
    <rPh sb="2" eb="4">
      <t>イガイ</t>
    </rPh>
    <rPh sb="11" eb="13">
      <t>センタク</t>
    </rPh>
    <phoneticPr fontId="4"/>
  </si>
  <si>
    <t>使用量合計（単位変換）</t>
    <rPh sb="0" eb="3">
      <t>シヨウリョウ</t>
    </rPh>
    <rPh sb="3" eb="5">
      <t>ゴウケイ</t>
    </rPh>
    <rPh sb="6" eb="8">
      <t>タンイ</t>
    </rPh>
    <rPh sb="8" eb="10">
      <t>ヘンカン</t>
    </rPh>
    <phoneticPr fontId="4"/>
  </si>
  <si>
    <t>熱量合計</t>
    <rPh sb="0" eb="2">
      <t>ネツリョウ</t>
    </rPh>
    <rPh sb="2" eb="4">
      <t>ゴウケイ</t>
    </rPh>
    <phoneticPr fontId="4"/>
  </si>
  <si>
    <t>GJ</t>
    <phoneticPr fontId="4"/>
  </si>
  <si>
    <t>単位発熱量</t>
    <rPh sb="0" eb="2">
      <t>タンイ</t>
    </rPh>
    <rPh sb="2" eb="4">
      <t>ハツネツ</t>
    </rPh>
    <rPh sb="4" eb="5">
      <t>リョウ</t>
    </rPh>
    <phoneticPr fontId="4"/>
  </si>
  <si>
    <t>%削減</t>
    <rPh sb="1" eb="3">
      <t>サクゲン</t>
    </rPh>
    <phoneticPr fontId="4"/>
  </si>
  <si>
    <t>実績</t>
    <rPh sb="0" eb="2">
      <t>ジッセキ</t>
    </rPh>
    <phoneticPr fontId="4"/>
  </si>
  <si>
    <t>目標</t>
    <rPh sb="0" eb="2">
      <t>モクヒョウ</t>
    </rPh>
    <phoneticPr fontId="4"/>
  </si>
  <si>
    <t>No.</t>
    <phoneticPr fontId="4"/>
  </si>
  <si>
    <t>内容</t>
    <rPh sb="0" eb="2">
      <t>ナイヨウ</t>
    </rPh>
    <phoneticPr fontId="4"/>
  </si>
  <si>
    <t>省エネ・地球温暖化対策に関する社内研修等の実施</t>
    <phoneticPr fontId="4"/>
  </si>
  <si>
    <t>番号</t>
    <rPh sb="0" eb="2">
      <t>バンゴウ</t>
    </rPh>
    <phoneticPr fontId="4"/>
  </si>
  <si>
    <t>取り組みの内容</t>
    <rPh sb="0" eb="1">
      <t>ト</t>
    </rPh>
    <rPh sb="2" eb="3">
      <t>ク</t>
    </rPh>
    <rPh sb="5" eb="7">
      <t>ナイヨウ</t>
    </rPh>
    <phoneticPr fontId="4"/>
  </si>
  <si>
    <t>（自由記述欄）</t>
    <rPh sb="1" eb="3">
      <t>ジユウ</t>
    </rPh>
    <rPh sb="3" eb="5">
      <t>キジュツ</t>
    </rPh>
    <rPh sb="5" eb="6">
      <t>ラン</t>
    </rPh>
    <phoneticPr fontId="4"/>
  </si>
  <si>
    <t>取り組みの実施状況・実施計画</t>
    <rPh sb="0" eb="1">
      <t>ト</t>
    </rPh>
    <rPh sb="2" eb="3">
      <t>ク</t>
    </rPh>
    <rPh sb="5" eb="7">
      <t>ジッシ</t>
    </rPh>
    <rPh sb="7" eb="9">
      <t>ジョウキョウ</t>
    </rPh>
    <rPh sb="10" eb="12">
      <t>ジッシ</t>
    </rPh>
    <rPh sb="12" eb="14">
      <t>ケイカク</t>
    </rPh>
    <phoneticPr fontId="4"/>
  </si>
  <si>
    <t>既に実施済み</t>
    <rPh sb="0" eb="1">
      <t>スデ</t>
    </rPh>
    <rPh sb="2" eb="4">
      <t>ジッシ</t>
    </rPh>
    <rPh sb="4" eb="5">
      <t>ズ</t>
    </rPh>
    <phoneticPr fontId="4"/>
  </si>
  <si>
    <t>実施予定なし</t>
    <rPh sb="0" eb="2">
      <t>ジッシ</t>
    </rPh>
    <rPh sb="2" eb="4">
      <t>ヨテイ</t>
    </rPh>
    <phoneticPr fontId="4"/>
  </si>
  <si>
    <t>各月エネルギー使用量</t>
    <rPh sb="0" eb="1">
      <t>カク</t>
    </rPh>
    <rPh sb="1" eb="2">
      <t>ツキ</t>
    </rPh>
    <rPh sb="7" eb="10">
      <t>シヨウリョウ</t>
    </rPh>
    <phoneticPr fontId="4"/>
  </si>
  <si>
    <t>実施率</t>
    <rPh sb="0" eb="2">
      <t>ジッシ</t>
    </rPh>
    <rPh sb="2" eb="3">
      <t>リツ</t>
    </rPh>
    <phoneticPr fontId="4"/>
  </si>
  <si>
    <t>基本対策の実施率</t>
    <rPh sb="0" eb="2">
      <t>キホン</t>
    </rPh>
    <rPh sb="2" eb="4">
      <t>タイサク</t>
    </rPh>
    <rPh sb="5" eb="7">
      <t>ジッシ</t>
    </rPh>
    <rPh sb="7" eb="8">
      <t>リツ</t>
    </rPh>
    <phoneticPr fontId="4"/>
  </si>
  <si>
    <t>（自由記述欄）</t>
    <phoneticPr fontId="4"/>
  </si>
  <si>
    <t>実施済み</t>
    <rPh sb="0" eb="2">
      <t>ジッシ</t>
    </rPh>
    <rPh sb="2" eb="3">
      <t>ズ</t>
    </rPh>
    <phoneticPr fontId="4"/>
  </si>
  <si>
    <t>実施予定</t>
    <rPh sb="0" eb="2">
      <t>ジッシ</t>
    </rPh>
    <rPh sb="2" eb="4">
      <t>ヨテイ</t>
    </rPh>
    <phoneticPr fontId="4"/>
  </si>
  <si>
    <t>予定なし</t>
    <rPh sb="0" eb="2">
      <t>ヨテイ</t>
    </rPh>
    <phoneticPr fontId="4"/>
  </si>
  <si>
    <t>非該当</t>
    <rPh sb="0" eb="3">
      <t>ヒガイトウ</t>
    </rPh>
    <phoneticPr fontId="4"/>
  </si>
  <si>
    <t>該当項目</t>
    <rPh sb="0" eb="2">
      <t>ガイトウ</t>
    </rPh>
    <rPh sb="2" eb="4">
      <t>コウモク</t>
    </rPh>
    <phoneticPr fontId="4"/>
  </si>
  <si>
    <t>次年度実施目標</t>
    <rPh sb="0" eb="3">
      <t>ジネンド</t>
    </rPh>
    <rPh sb="3" eb="5">
      <t>ジッシ</t>
    </rPh>
    <rPh sb="5" eb="7">
      <t>モクヒョウ</t>
    </rPh>
    <phoneticPr fontId="4"/>
  </si>
  <si>
    <t>直近４年以内に実施済み</t>
    <rPh sb="0" eb="2">
      <t>チョッキン</t>
    </rPh>
    <rPh sb="3" eb="4">
      <t>ネン</t>
    </rPh>
    <rPh sb="4" eb="6">
      <t>イナイ</t>
    </rPh>
    <rPh sb="7" eb="9">
      <t>ジッシ</t>
    </rPh>
    <rPh sb="9" eb="10">
      <t>ズ</t>
    </rPh>
    <phoneticPr fontId="4"/>
  </si>
  <si>
    <t>任意入力対策の実施率</t>
    <rPh sb="0" eb="2">
      <t>ニンイ</t>
    </rPh>
    <rPh sb="2" eb="4">
      <t>ニュウリョク</t>
    </rPh>
    <rPh sb="4" eb="6">
      <t>タイサク</t>
    </rPh>
    <rPh sb="7" eb="9">
      <t>ジッシ</t>
    </rPh>
    <rPh sb="9" eb="10">
      <t>リツ</t>
    </rPh>
    <phoneticPr fontId="4"/>
  </si>
  <si>
    <t>エネルギー使用量（熱量換算）</t>
    <rPh sb="5" eb="8">
      <t>シヨウリョウ</t>
    </rPh>
    <rPh sb="9" eb="11">
      <t>ネツリョウ</t>
    </rPh>
    <rPh sb="11" eb="13">
      <t>カンザン</t>
    </rPh>
    <phoneticPr fontId="4"/>
  </si>
  <si>
    <t>熱量合計（GJ）</t>
    <rPh sb="0" eb="2">
      <t>ネツリョウ</t>
    </rPh>
    <rPh sb="2" eb="4">
      <t>ゴウケイ</t>
    </rPh>
    <phoneticPr fontId="4"/>
  </si>
  <si>
    <t>温室効果ガス排出量</t>
    <rPh sb="0" eb="2">
      <t>オンシツ</t>
    </rPh>
    <rPh sb="2" eb="4">
      <t>コウカ</t>
    </rPh>
    <rPh sb="6" eb="8">
      <t>ハイシュツ</t>
    </rPh>
    <rPh sb="8" eb="9">
      <t>リョウ</t>
    </rPh>
    <phoneticPr fontId="4"/>
  </si>
  <si>
    <t>合計（熱量換算）</t>
    <rPh sb="0" eb="2">
      <t>ゴウケイ</t>
    </rPh>
    <rPh sb="3" eb="5">
      <t>ネツリョウ</t>
    </rPh>
    <rPh sb="5" eb="7">
      <t>カンザン</t>
    </rPh>
    <phoneticPr fontId="4"/>
  </si>
  <si>
    <t>円</t>
    <rPh sb="0" eb="1">
      <t>エン</t>
    </rPh>
    <phoneticPr fontId="4"/>
  </si>
  <si>
    <t>使用料金</t>
    <rPh sb="0" eb="2">
      <t>シヨウ</t>
    </rPh>
    <rPh sb="2" eb="4">
      <t>リョウキン</t>
    </rPh>
    <phoneticPr fontId="4"/>
  </si>
  <si>
    <t>※こちらの入力は任意です。ご自由にお使いください。</t>
    <rPh sb="5" eb="7">
      <t>ニュウリョク</t>
    </rPh>
    <rPh sb="8" eb="10">
      <t>ニンイ</t>
    </rPh>
    <rPh sb="14" eb="16">
      <t>ジユウ</t>
    </rPh>
    <rPh sb="18" eb="19">
      <t>ツカ</t>
    </rPh>
    <phoneticPr fontId="4"/>
  </si>
  <si>
    <t>入力単位</t>
    <rPh sb="0" eb="2">
      <t>ニュウリョク</t>
    </rPh>
    <rPh sb="2" eb="4">
      <t>タンイ</t>
    </rPh>
    <phoneticPr fontId="4"/>
  </si>
  <si>
    <r>
      <t>m</t>
    </r>
    <r>
      <rPr>
        <vertAlign val="superscript"/>
        <sz val="11"/>
        <color rgb="FFFF0000"/>
        <rFont val="メイリオ"/>
        <family val="3"/>
        <charset val="128"/>
      </rPr>
      <t>3</t>
    </r>
    <phoneticPr fontId="4"/>
  </si>
  <si>
    <t>グラフ表示単位</t>
    <rPh sb="3" eb="5">
      <t>ヒョウジ</t>
    </rPh>
    <rPh sb="5" eb="7">
      <t>タンイ</t>
    </rPh>
    <phoneticPr fontId="4"/>
  </si>
  <si>
    <t>使用量：</t>
    <rPh sb="0" eb="3">
      <t>シヨウリョウ</t>
    </rPh>
    <phoneticPr fontId="4"/>
  </si>
  <si>
    <t>料金：</t>
    <rPh sb="0" eb="2">
      <t>リョウキン</t>
    </rPh>
    <phoneticPr fontId="4"/>
  </si>
  <si>
    <t>【目標】</t>
    <rPh sb="1" eb="3">
      <t>モクヒョウ</t>
    </rPh>
    <phoneticPr fontId="4"/>
  </si>
  <si>
    <t xml:space="preserve"> 法人の名称</t>
    <rPh sb="1" eb="3">
      <t>ホウジン</t>
    </rPh>
    <rPh sb="4" eb="6">
      <t>メイショウ</t>
    </rPh>
    <phoneticPr fontId="4"/>
  </si>
  <si>
    <t xml:space="preserve"> 法人の所在地</t>
    <rPh sb="1" eb="3">
      <t>ホウジン</t>
    </rPh>
    <rPh sb="4" eb="7">
      <t>ショザイチ</t>
    </rPh>
    <phoneticPr fontId="4"/>
  </si>
  <si>
    <t xml:space="preserve"> 代表者の職・氏名</t>
    <rPh sb="1" eb="4">
      <t>ダイヒョウシャ</t>
    </rPh>
    <rPh sb="5" eb="6">
      <t>ショク</t>
    </rPh>
    <rPh sb="7" eb="9">
      <t>シメイ</t>
    </rPh>
    <phoneticPr fontId="4"/>
  </si>
  <si>
    <t xml:space="preserve"> 事業所の名称</t>
    <rPh sb="1" eb="4">
      <t>ジギョウショ</t>
    </rPh>
    <rPh sb="5" eb="7">
      <t>メイショウ</t>
    </rPh>
    <phoneticPr fontId="4"/>
  </si>
  <si>
    <t xml:space="preserve"> 事業所の所在地</t>
    <rPh sb="1" eb="4">
      <t>ジギョウショ</t>
    </rPh>
    <rPh sb="5" eb="8">
      <t>ショザイチ</t>
    </rPh>
    <phoneticPr fontId="4"/>
  </si>
  <si>
    <t xml:space="preserve"> 所属部署</t>
    <rPh sb="1" eb="3">
      <t>ショゾク</t>
    </rPh>
    <rPh sb="3" eb="5">
      <t>ブショ</t>
    </rPh>
    <phoneticPr fontId="4"/>
  </si>
  <si>
    <t xml:space="preserve"> 住所</t>
    <rPh sb="1" eb="3">
      <t>ジュウショ</t>
    </rPh>
    <phoneticPr fontId="4"/>
  </si>
  <si>
    <t xml:space="preserve"> 氏名</t>
    <rPh sb="1" eb="3">
      <t>シメイ</t>
    </rPh>
    <phoneticPr fontId="4"/>
  </si>
  <si>
    <t xml:space="preserve"> 電話番号</t>
    <rPh sb="1" eb="3">
      <t>デンワ</t>
    </rPh>
    <rPh sb="3" eb="5">
      <t>バンゴウ</t>
    </rPh>
    <phoneticPr fontId="4"/>
  </si>
  <si>
    <t xml:space="preserve"> メールアドレス</t>
    <phoneticPr fontId="4"/>
  </si>
  <si>
    <t>（参考）前年度選択内容</t>
    <rPh sb="1" eb="3">
      <t>サンコウ</t>
    </rPh>
    <rPh sb="4" eb="7">
      <t>ゼンネンド</t>
    </rPh>
    <rPh sb="7" eb="9">
      <t>センタク</t>
    </rPh>
    <rPh sb="9" eb="11">
      <t>ナイヨウ</t>
    </rPh>
    <phoneticPr fontId="4"/>
  </si>
  <si>
    <t>今日</t>
    <rPh sb="0" eb="2">
      <t>キョウ</t>
    </rPh>
    <phoneticPr fontId="4"/>
  </si>
  <si>
    <t>提出年度</t>
    <rPh sb="0" eb="2">
      <t>テイシュツ</t>
    </rPh>
    <rPh sb="2" eb="4">
      <t>ネンド</t>
    </rPh>
    <phoneticPr fontId="4"/>
  </si>
  <si>
    <t>現在の年度</t>
    <rPh sb="0" eb="2">
      <t>ゲンザイ</t>
    </rPh>
    <rPh sb="3" eb="5">
      <t>ネンド</t>
    </rPh>
    <phoneticPr fontId="4"/>
  </si>
  <si>
    <t>削減目標の達成状況</t>
    <rPh sb="0" eb="2">
      <t>サクゲン</t>
    </rPh>
    <rPh sb="2" eb="4">
      <t>モクヒョウ</t>
    </rPh>
    <rPh sb="5" eb="7">
      <t>タッセイ</t>
    </rPh>
    <rPh sb="7" eb="9">
      <t>ジョウキョウ</t>
    </rPh>
    <phoneticPr fontId="4"/>
  </si>
  <si>
    <t>計画</t>
    <rPh sb="0" eb="2">
      <t>ケイカク</t>
    </rPh>
    <phoneticPr fontId="4"/>
  </si>
  <si>
    <t>結果</t>
    <rPh sb="0" eb="2">
      <t>ケッカ</t>
    </rPh>
    <phoneticPr fontId="4"/>
  </si>
  <si>
    <t>排出量の
増減理由</t>
    <rPh sb="0" eb="2">
      <t>ハイシュツ</t>
    </rPh>
    <rPh sb="2" eb="3">
      <t>リョウ</t>
    </rPh>
    <rPh sb="5" eb="7">
      <t>ゾウゲン</t>
    </rPh>
    <rPh sb="7" eb="9">
      <t>リユウ</t>
    </rPh>
    <phoneticPr fontId="4"/>
  </si>
  <si>
    <t>前年度排出量</t>
    <rPh sb="0" eb="3">
      <t>ゼンネンド</t>
    </rPh>
    <rPh sb="3" eb="5">
      <t>ハイシュツ</t>
    </rPh>
    <rPh sb="5" eb="6">
      <t>リョウ</t>
    </rPh>
    <phoneticPr fontId="4"/>
  </si>
  <si>
    <t>※参加年度に合わせてシート名を変更すること！【本シート名：入力シート（”参加する年度”年度実績）】</t>
    <rPh sb="1" eb="3">
      <t>サンカ</t>
    </rPh>
    <rPh sb="3" eb="5">
      <t>ネンド</t>
    </rPh>
    <rPh sb="6" eb="7">
      <t>ア</t>
    </rPh>
    <rPh sb="13" eb="14">
      <t>メイ</t>
    </rPh>
    <rPh sb="15" eb="17">
      <t>ヘンコウ</t>
    </rPh>
    <rPh sb="23" eb="24">
      <t>ホン</t>
    </rPh>
    <rPh sb="27" eb="28">
      <t>メイ</t>
    </rPh>
    <rPh sb="29" eb="31">
      <t>ニュウリョク</t>
    </rPh>
    <rPh sb="36" eb="38">
      <t>サンカ</t>
    </rPh>
    <rPh sb="40" eb="42">
      <t>ネンド</t>
    </rPh>
    <rPh sb="43" eb="45">
      <t>ネンド</t>
    </rPh>
    <rPh sb="45" eb="47">
      <t>ジッセキ</t>
    </rPh>
    <phoneticPr fontId="4"/>
  </si>
  <si>
    <t>[t-CO2]</t>
    <phoneticPr fontId="4"/>
  </si>
  <si>
    <t>温室効果ガス削減計画書・報告書</t>
    <rPh sb="0" eb="2">
      <t>オンシツ</t>
    </rPh>
    <rPh sb="2" eb="4">
      <t>コウカ</t>
    </rPh>
    <rPh sb="6" eb="8">
      <t>サクゲン</t>
    </rPh>
    <rPh sb="8" eb="11">
      <t>ケイカクショ</t>
    </rPh>
    <rPh sb="12" eb="15">
      <t>ホウコクショ</t>
    </rPh>
    <phoneticPr fontId="4"/>
  </si>
  <si>
    <t>事業所の名称</t>
    <rPh sb="0" eb="3">
      <t>ジギョウショ</t>
    </rPh>
    <rPh sb="4" eb="6">
      <t>メイショウ</t>
    </rPh>
    <phoneticPr fontId="4"/>
  </si>
  <si>
    <t>事業者の名称</t>
    <rPh sb="0" eb="3">
      <t>ジギョウシャ</t>
    </rPh>
    <rPh sb="4" eb="6">
      <t>メイショウ</t>
    </rPh>
    <phoneticPr fontId="4"/>
  </si>
  <si>
    <t>事業所の所在地</t>
    <rPh sb="0" eb="3">
      <t>ジギョウショ</t>
    </rPh>
    <rPh sb="4" eb="7">
      <t>ショザイチ</t>
    </rPh>
    <phoneticPr fontId="4"/>
  </si>
  <si>
    <t>業種</t>
    <rPh sb="0" eb="2">
      <t>ギョウシュ</t>
    </rPh>
    <phoneticPr fontId="4"/>
  </si>
  <si>
    <t>◆温室効果ガスの排出状況等</t>
    <rPh sb="1" eb="3">
      <t>オンシツ</t>
    </rPh>
    <rPh sb="3" eb="5">
      <t>コウカ</t>
    </rPh>
    <rPh sb="8" eb="10">
      <t>ハイシュツ</t>
    </rPh>
    <rPh sb="10" eb="12">
      <t>ジョウキョウ</t>
    </rPh>
    <rPh sb="12" eb="13">
      <t>ナド</t>
    </rPh>
    <phoneticPr fontId="4"/>
  </si>
  <si>
    <r>
      <t>t-CO</t>
    </r>
    <r>
      <rPr>
        <vertAlign val="subscript"/>
        <sz val="11"/>
        <color theme="1"/>
        <rFont val="メイリオ"/>
        <family val="3"/>
        <charset val="128"/>
      </rPr>
      <t>2</t>
    </r>
    <phoneticPr fontId="4"/>
  </si>
  <si>
    <t>排出量の増減理由</t>
    <rPh sb="0" eb="2">
      <t>ハイシュツ</t>
    </rPh>
    <rPh sb="2" eb="3">
      <t>リョウ</t>
    </rPh>
    <rPh sb="4" eb="6">
      <t>ゾウゲン</t>
    </rPh>
    <rPh sb="6" eb="8">
      <t>リユウ</t>
    </rPh>
    <phoneticPr fontId="4"/>
  </si>
  <si>
    <t>基本対策</t>
    <rPh sb="0" eb="2">
      <t>キホン</t>
    </rPh>
    <rPh sb="2" eb="4">
      <t>タイサク</t>
    </rPh>
    <phoneticPr fontId="4"/>
  </si>
  <si>
    <t>その他の対策</t>
    <rPh sb="2" eb="3">
      <t>タ</t>
    </rPh>
    <rPh sb="4" eb="6">
      <t>タイサク</t>
    </rPh>
    <phoneticPr fontId="4"/>
  </si>
  <si>
    <t>（参考）省エネルギー法　定期報告書・中長期計画書（特定事業者等）記入要領（資源エネルギー庁）</t>
    <rPh sb="1" eb="3">
      <t>サンコウ</t>
    </rPh>
    <rPh sb="4" eb="5">
      <t>ショウ</t>
    </rPh>
    <rPh sb="10" eb="11">
      <t>ホウ</t>
    </rPh>
    <rPh sb="12" eb="14">
      <t>テイキ</t>
    </rPh>
    <rPh sb="14" eb="17">
      <t>ホウコクショ</t>
    </rPh>
    <rPh sb="18" eb="21">
      <t>チュウチョウキ</t>
    </rPh>
    <rPh sb="21" eb="24">
      <t>ケイカクショ</t>
    </rPh>
    <rPh sb="25" eb="27">
      <t>トクテイ</t>
    </rPh>
    <rPh sb="27" eb="30">
      <t>ジギョウシャ</t>
    </rPh>
    <rPh sb="30" eb="31">
      <t>ナド</t>
    </rPh>
    <rPh sb="32" eb="34">
      <t>キニュウ</t>
    </rPh>
    <rPh sb="34" eb="36">
      <t>ヨウリョウ</t>
    </rPh>
    <rPh sb="37" eb="39">
      <t>シゲン</t>
    </rPh>
    <rPh sb="44" eb="45">
      <t>チョウ</t>
    </rPh>
    <phoneticPr fontId="4"/>
  </si>
  <si>
    <t>※最新版を確認すること（「プロパン・ブタンの混合」の換算係数を使用する）</t>
    <rPh sb="1" eb="4">
      <t>サイシンバン</t>
    </rPh>
    <rPh sb="5" eb="7">
      <t>カクニン</t>
    </rPh>
    <rPh sb="22" eb="24">
      <t>コンゴウ</t>
    </rPh>
    <rPh sb="26" eb="28">
      <t>カンザン</t>
    </rPh>
    <rPh sb="28" eb="30">
      <t>ケイスウ</t>
    </rPh>
    <rPh sb="31" eb="33">
      <t>シヨウ</t>
    </rPh>
    <phoneticPr fontId="4"/>
  </si>
  <si>
    <r>
      <t>千m</t>
    </r>
    <r>
      <rPr>
        <vertAlign val="superscript"/>
        <sz val="10"/>
        <color rgb="FFFF0000"/>
        <rFont val="メイリオ"/>
        <family val="3"/>
        <charset val="128"/>
      </rPr>
      <t>3</t>
    </r>
    <rPh sb="0" eb="1">
      <t>セン</t>
    </rPh>
    <phoneticPr fontId="23"/>
  </si>
  <si>
    <t>GＪ/千Nｍ３</t>
    <phoneticPr fontId="4"/>
  </si>
  <si>
    <t>※排出係数の数式注意（標準環境状態への換算のため0.904を乗じる）</t>
    <rPh sb="1" eb="3">
      <t>ハイシュツ</t>
    </rPh>
    <rPh sb="3" eb="5">
      <t>ケイスウ</t>
    </rPh>
    <rPh sb="6" eb="8">
      <t>スウシキ</t>
    </rPh>
    <rPh sb="8" eb="10">
      <t>チュウイ</t>
    </rPh>
    <rPh sb="11" eb="13">
      <t>ヒョウジュン</t>
    </rPh>
    <rPh sb="13" eb="15">
      <t>カンキョウ</t>
    </rPh>
    <rPh sb="15" eb="17">
      <t>ジョウタイ</t>
    </rPh>
    <rPh sb="19" eb="21">
      <t>カンザン</t>
    </rPh>
    <rPh sb="30" eb="31">
      <t>ジョウ</t>
    </rPh>
    <phoneticPr fontId="4"/>
  </si>
  <si>
    <t>実 績</t>
    <rPh sb="0" eb="1">
      <t>ジツ</t>
    </rPh>
    <rPh sb="2" eb="3">
      <t>イサオ</t>
    </rPh>
    <phoneticPr fontId="4"/>
  </si>
  <si>
    <t>目 標</t>
    <rPh sb="0" eb="1">
      <t>メ</t>
    </rPh>
    <rPh sb="2" eb="3">
      <t>シルベ</t>
    </rPh>
    <phoneticPr fontId="4"/>
  </si>
  <si>
    <t>現在の実施率：</t>
    <rPh sb="0" eb="2">
      <t>ゲンザイ</t>
    </rPh>
    <rPh sb="3" eb="5">
      <t>ジッシ</t>
    </rPh>
    <rPh sb="5" eb="6">
      <t>リツ</t>
    </rPh>
    <phoneticPr fontId="4"/>
  </si>
  <si>
    <t>次年度目標：</t>
    <rPh sb="0" eb="3">
      <t>ジネンド</t>
    </rPh>
    <rPh sb="3" eb="5">
      <t>モクヒョウ</t>
    </rPh>
    <phoneticPr fontId="4"/>
  </si>
  <si>
    <t>１回目提出</t>
    <rPh sb="1" eb="3">
      <t>カイメ</t>
    </rPh>
    <rPh sb="3" eb="5">
      <t>テイシュツ</t>
    </rPh>
    <phoneticPr fontId="4"/>
  </si>
  <si>
    <t>２回目提出</t>
    <rPh sb="1" eb="2">
      <t>カイ</t>
    </rPh>
    <rPh sb="2" eb="3">
      <t>メ</t>
    </rPh>
    <rPh sb="3" eb="5">
      <t>テイシュツ</t>
    </rPh>
    <phoneticPr fontId="4"/>
  </si>
  <si>
    <t>３回目提出</t>
    <rPh sb="1" eb="3">
      <t>カイメ</t>
    </rPh>
    <rPh sb="3" eb="5">
      <t>テイシュツ</t>
    </rPh>
    <phoneticPr fontId="4"/>
  </si>
  <si>
    <t>４回目提出</t>
    <rPh sb="1" eb="3">
      <t>カイメ</t>
    </rPh>
    <rPh sb="3" eb="5">
      <t>テイシュツ</t>
    </rPh>
    <phoneticPr fontId="4"/>
  </si>
  <si>
    <t>年度（参加年度）</t>
    <rPh sb="0" eb="2">
      <t>ネンド</t>
    </rPh>
    <rPh sb="3" eb="5">
      <t>サンカ</t>
    </rPh>
    <rPh sb="5" eb="7">
      <t>ネンド</t>
    </rPh>
    <phoneticPr fontId="4"/>
  </si>
  <si>
    <t>年度 公表用シート</t>
    <rPh sb="0" eb="2">
      <t>ネンド</t>
    </rPh>
    <rPh sb="3" eb="5">
      <t>コウヒョウ</t>
    </rPh>
    <rPh sb="5" eb="6">
      <t>ヨウ</t>
    </rPh>
    <phoneticPr fontId="4"/>
  </si>
  <si>
    <t>←プルダウンから選択</t>
    <rPh sb="8" eb="10">
      <t>センタク</t>
    </rPh>
    <phoneticPr fontId="4"/>
  </si>
  <si>
    <t>%削減〉</t>
    <rPh sb="1" eb="3">
      <t>サクゲン</t>
    </rPh>
    <phoneticPr fontId="4"/>
  </si>
  <si>
    <t>フラグ</t>
    <phoneticPr fontId="4"/>
  </si>
  <si>
    <t>参加
年度</t>
    <rPh sb="0" eb="2">
      <t>サンカ</t>
    </rPh>
    <rPh sb="3" eb="5">
      <t>ネンド</t>
    </rPh>
    <phoneticPr fontId="4"/>
  </si>
  <si>
    <t>公表年度</t>
    <rPh sb="0" eb="2">
      <t>コウヒョウ</t>
    </rPh>
    <rPh sb="2" eb="4">
      <t>ネンド</t>
    </rPh>
    <phoneticPr fontId="4"/>
  </si>
  <si>
    <t>フラグ用</t>
    <rPh sb="3" eb="4">
      <t>ヨウ</t>
    </rPh>
    <phoneticPr fontId="4"/>
  </si>
  <si>
    <t>フラグ条件</t>
    <rPh sb="3" eb="5">
      <t>ジョウケン</t>
    </rPh>
    <phoneticPr fontId="4"/>
  </si>
  <si>
    <t>〈前年度比</t>
    <rPh sb="1" eb="4">
      <t>ゼンネンド</t>
    </rPh>
    <rPh sb="4" eb="5">
      <t>ヒ</t>
    </rPh>
    <phoneticPr fontId="4"/>
  </si>
  <si>
    <t>表示年度</t>
    <rPh sb="0" eb="2">
      <t>ヒョウジ</t>
    </rPh>
    <rPh sb="2" eb="4">
      <t>ネンド</t>
    </rPh>
    <phoneticPr fontId="4"/>
  </si>
  <si>
    <t>※青色セル以外は触らない！</t>
    <rPh sb="1" eb="3">
      <t>アオイロ</t>
    </rPh>
    <rPh sb="5" eb="7">
      <t>イガイ</t>
    </rPh>
    <rPh sb="8" eb="9">
      <t>サワ</t>
    </rPh>
    <phoneticPr fontId="4"/>
  </si>
  <si>
    <t>合計（ダミー）</t>
    <rPh sb="0" eb="2">
      <t>ゴウケイ</t>
    </rPh>
    <phoneticPr fontId="4"/>
  </si>
  <si>
    <t>※X～AC列はアップロード時非表示→パスワード付き保護</t>
    <rPh sb="5" eb="6">
      <t>レツ</t>
    </rPh>
    <rPh sb="13" eb="14">
      <t>ジ</t>
    </rPh>
    <rPh sb="14" eb="17">
      <t>ヒヒョウジ</t>
    </rPh>
    <rPh sb="23" eb="24">
      <t>ツ</t>
    </rPh>
    <rPh sb="25" eb="27">
      <t>ホゴ</t>
    </rPh>
    <phoneticPr fontId="4"/>
  </si>
  <si>
    <t>基準年度比削減率実績</t>
    <phoneticPr fontId="4"/>
  </si>
  <si>
    <t>（基準年度）</t>
    <rPh sb="1" eb="3">
      <t>キジュン</t>
    </rPh>
    <rPh sb="3" eb="5">
      <t>ネンド</t>
    </rPh>
    <phoneticPr fontId="4"/>
  </si>
  <si>
    <t>基準年度比削減率</t>
    <rPh sb="0" eb="2">
      <t>キジュン</t>
    </rPh>
    <rPh sb="2" eb="4">
      <t>ネンド</t>
    </rPh>
    <rPh sb="4" eb="5">
      <t>ヒ</t>
    </rPh>
    <phoneticPr fontId="4"/>
  </si>
  <si>
    <t>計画期間平均削減率</t>
    <rPh sb="0" eb="2">
      <t>ケイカク</t>
    </rPh>
    <rPh sb="2" eb="4">
      <t>キカン</t>
    </rPh>
    <rPh sb="4" eb="6">
      <t>ヘイキン</t>
    </rPh>
    <rPh sb="6" eb="8">
      <t>サクゲン</t>
    </rPh>
    <rPh sb="8" eb="9">
      <t>リツ</t>
    </rPh>
    <phoneticPr fontId="4"/>
  </si>
  <si>
    <t>⇒</t>
    <phoneticPr fontId="4"/>
  </si>
  <si>
    <t>大分類</t>
    <rPh sb="0" eb="1">
      <t>ダイ</t>
    </rPh>
    <rPh sb="1" eb="3">
      <t>ブンルイ</t>
    </rPh>
    <phoneticPr fontId="15"/>
  </si>
  <si>
    <t>A</t>
    <phoneticPr fontId="16"/>
  </si>
  <si>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</si>
  <si>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</si>
  <si>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</si>
  <si>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</si>
  <si>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</si>
  <si>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</si>
  <si>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</si>
  <si>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</si>
  <si>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</si>
  <si>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</si>
  <si>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</si>
  <si>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</si>
  <si>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</si>
  <si>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</si>
  <si>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</si>
  <si>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</si>
  <si>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</si>
  <si>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</si>
  <si>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</si>
  <si>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農業、林業</t>
    <rPh sb="0" eb="2">
      <t>ノウギョウ</t>
    </rPh>
    <rPh sb="3" eb="5">
      <t>リンギョウ</t>
    </rPh>
    <phoneticPr fontId="4"/>
  </si>
  <si>
    <t>漁業</t>
    <rPh sb="0" eb="2">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</si>
  <si>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</si>
  <si>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</si>
  <si>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</si>
  <si>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</si>
  <si>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4">
      <t>ツウシン</t>
    </rPh>
    <rPh sb="4" eb="5">
      <t>ギョウ</t>
    </rPh>
    <phoneticPr fontId="4"/>
  </si>
  <si>
    <t>運輸業、郵便業</t>
    <rPh sb="0" eb="3">
      <t>ウンユギョウ</t>
    </rPh>
    <rPh sb="4" eb="6">
      <t>ユウビン</t>
    </rPh>
    <rPh sb="6" eb="7">
      <t>ギョウ</t>
    </rPh>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</si>
  <si>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</si>
  <si>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</si>
  <si>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</si>
  <si>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</si>
  <si>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</si>
  <si>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</si>
  <si>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</si>
  <si>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</si>
  <si>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</si>
  <si>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サービス業（他に分類されないもの）</t>
    <phoneticPr fontId="4"/>
  </si>
  <si>
    <t>公務（他に分類されるものを除く）</t>
    <phoneticPr fontId="4"/>
  </si>
  <si>
    <t>分類不能の産業</t>
    <phoneticPr fontId="4"/>
  </si>
  <si>
    <t>削減目標</t>
    <rPh sb="0" eb="2">
      <t>サクゲン</t>
    </rPh>
    <rPh sb="2" eb="4">
      <t>モクヒョウ</t>
    </rPh>
    <phoneticPr fontId="4"/>
  </si>
  <si>
    <t>◆（参考）エネルギーの使用状況等</t>
    <rPh sb="2" eb="4">
      <t>サンコウ</t>
    </rPh>
    <rPh sb="11" eb="13">
      <t>シヨウ</t>
    </rPh>
    <rPh sb="13" eb="15">
      <t>ジョウキョウ</t>
    </rPh>
    <rPh sb="15" eb="16">
      <t>ナド</t>
    </rPh>
    <phoneticPr fontId="4"/>
  </si>
  <si>
    <t>どちらでもない</t>
    <phoneticPr fontId="4"/>
  </si>
  <si>
    <t>これから実施したい</t>
    <rPh sb="4" eb="6">
      <t>ジッシ</t>
    </rPh>
    <phoneticPr fontId="4"/>
  </si>
  <si>
    <t xml:space="preserve">  〒</t>
    <phoneticPr fontId="4"/>
  </si>
  <si>
    <t>事業所所在地と同じ</t>
    <rPh sb="0" eb="3">
      <t>ジギョウショ</t>
    </rPh>
    <rPh sb="3" eb="6">
      <t>ショザイチ</t>
    </rPh>
    <rPh sb="7" eb="8">
      <t>オナ</t>
    </rPh>
    <phoneticPr fontId="4"/>
  </si>
  <si>
    <t>法人所在地と同じ</t>
    <rPh sb="0" eb="2">
      <t>ホウジン</t>
    </rPh>
    <rPh sb="2" eb="5">
      <t>ショザイチ</t>
    </rPh>
    <rPh sb="6" eb="7">
      <t>オナ</t>
    </rPh>
    <phoneticPr fontId="4"/>
  </si>
  <si>
    <t>法人所在地と異なる</t>
    <rPh sb="0" eb="2">
      <t>ホウジン</t>
    </rPh>
    <rPh sb="2" eb="5">
      <t>ショザイチ</t>
    </rPh>
    <rPh sb="6" eb="7">
      <t>コト</t>
    </rPh>
    <phoneticPr fontId="4"/>
  </si>
  <si>
    <t>電気</t>
    <rPh sb="0" eb="2">
      <t>デンキ</t>
    </rPh>
    <phoneticPr fontId="4"/>
  </si>
  <si>
    <t>温室効果ガス
排出量</t>
    <rPh sb="0" eb="4">
      <t>オンシツコウカ</t>
    </rPh>
    <rPh sb="7" eb="9">
      <t>ハイシュツ</t>
    </rPh>
    <rPh sb="9" eb="10">
      <t>リョウ</t>
    </rPh>
    <phoneticPr fontId="4"/>
  </si>
  <si>
    <t>電力排出係数の標準設定</t>
    <rPh sb="0" eb="2">
      <t>デンリョク</t>
    </rPh>
    <rPh sb="2" eb="4">
      <t>ハイシュツ</t>
    </rPh>
    <rPh sb="4" eb="6">
      <t>ケイスウ</t>
    </rPh>
    <rPh sb="7" eb="9">
      <t>ヒョウジュン</t>
    </rPh>
    <rPh sb="9" eb="11">
      <t>セッテイ</t>
    </rPh>
    <phoneticPr fontId="4"/>
  </si>
  <si>
    <t xml:space="preserve"> 産業分類（大分類）</t>
    <rPh sb="1" eb="3">
      <t>サンギョウ</t>
    </rPh>
    <rPh sb="3" eb="5">
      <t>ブンルイ</t>
    </rPh>
    <rPh sb="6" eb="9">
      <t>ダイブンルイ</t>
    </rPh>
    <phoneticPr fontId="4"/>
  </si>
  <si>
    <t>空白行（非表示）※次年度以降のシートと項目の列を合わせるため</t>
    <rPh sb="0" eb="3">
      <t>クウハクギョウ</t>
    </rPh>
    <rPh sb="4" eb="7">
      <t>ヒヒョウジ</t>
    </rPh>
    <rPh sb="9" eb="12">
      <t>ジネンド</t>
    </rPh>
    <rPh sb="12" eb="14">
      <t>イコウ</t>
    </rPh>
    <rPh sb="19" eb="21">
      <t>コウモク</t>
    </rPh>
    <rPh sb="22" eb="23">
      <t>レツ</t>
    </rPh>
    <rPh sb="24" eb="25">
      <t>ア</t>
    </rPh>
    <phoneticPr fontId="4"/>
  </si>
  <si>
    <t>下記情報を参加事業者一覧・提出状況管理表に転記する</t>
    <rPh sb="0" eb="2">
      <t>カキ</t>
    </rPh>
    <rPh sb="2" eb="4">
      <t>ジョウホウ</t>
    </rPh>
    <rPh sb="5" eb="7">
      <t>サンカ</t>
    </rPh>
    <rPh sb="7" eb="10">
      <t>ジギョウシャ</t>
    </rPh>
    <rPh sb="10" eb="12">
      <t>イチラン</t>
    </rPh>
    <rPh sb="13" eb="15">
      <t>テイシュツ</t>
    </rPh>
    <rPh sb="15" eb="17">
      <t>ジョウキョウ</t>
    </rPh>
    <rPh sb="17" eb="19">
      <t>カンリ</t>
    </rPh>
    <rPh sb="19" eb="20">
      <t>ヒョウ</t>
    </rPh>
    <rPh sb="21" eb="23">
      <t>テンキ</t>
    </rPh>
    <phoneticPr fontId="4"/>
  </si>
  <si>
    <t>法人の名称</t>
    <rPh sb="0" eb="2">
      <t>ホウジン</t>
    </rPh>
    <rPh sb="3" eb="5">
      <t>メイショウ</t>
    </rPh>
    <phoneticPr fontId="4"/>
  </si>
  <si>
    <t>産業分類（大分類）</t>
    <rPh sb="0" eb="2">
      <t>サンギョウ</t>
    </rPh>
    <rPh sb="2" eb="4">
      <t>ブンルイ</t>
    </rPh>
    <rPh sb="5" eb="8">
      <t>ダイブンルイ</t>
    </rPh>
    <phoneticPr fontId="4"/>
  </si>
  <si>
    <t>郵便番号</t>
    <rPh sb="0" eb="4">
      <t>ユウビンバンゴウ</t>
    </rPh>
    <phoneticPr fontId="4"/>
  </si>
  <si>
    <t>住所</t>
    <rPh sb="0" eb="2">
      <t>ジュウショ</t>
    </rPh>
    <phoneticPr fontId="4"/>
  </si>
  <si>
    <t>事業所情報</t>
    <rPh sb="0" eb="3">
      <t>ジギョウショ</t>
    </rPh>
    <rPh sb="3" eb="5">
      <t>ジョウホウ</t>
    </rPh>
    <phoneticPr fontId="4"/>
  </si>
  <si>
    <t>所属部署</t>
    <rPh sb="0" eb="2">
      <t>ショゾク</t>
    </rPh>
    <rPh sb="2" eb="4">
      <t>ブショ</t>
    </rPh>
    <phoneticPr fontId="4"/>
  </si>
  <si>
    <t>氏名</t>
    <rPh sb="0" eb="2">
      <t>シメイ</t>
    </rPh>
    <phoneticPr fontId="4"/>
  </si>
  <si>
    <t>メールアドレス</t>
    <phoneticPr fontId="4"/>
  </si>
  <si>
    <t>電話番号</t>
    <rPh sb="0" eb="2">
      <t>デンワ</t>
    </rPh>
    <rPh sb="2" eb="4">
      <t>バンゴウ</t>
    </rPh>
    <phoneticPr fontId="4"/>
  </si>
  <si>
    <t>排出量実績
[t-CO2]</t>
    <rPh sb="0" eb="2">
      <t>ハイシュツ</t>
    </rPh>
    <rPh sb="2" eb="3">
      <t>リョウ</t>
    </rPh>
    <rPh sb="3" eb="5">
      <t>ジッセキ</t>
    </rPh>
    <phoneticPr fontId="4"/>
  </si>
  <si>
    <t>排出量実績・削減目標</t>
    <rPh sb="0" eb="2">
      <t>ハイシュツ</t>
    </rPh>
    <rPh sb="2" eb="3">
      <t>リョウ</t>
    </rPh>
    <rPh sb="3" eb="5">
      <t>ジッセキ</t>
    </rPh>
    <rPh sb="6" eb="8">
      <t>サクゲン</t>
    </rPh>
    <rPh sb="8" eb="10">
      <t>モクヒョウ</t>
    </rPh>
    <phoneticPr fontId="4"/>
  </si>
  <si>
    <t>目標削減率
（前年度比）
[t-CO2]</t>
    <rPh sb="2" eb="4">
      <t>サクゲン</t>
    </rPh>
    <rPh sb="4" eb="5">
      <t>リツ</t>
    </rPh>
    <rPh sb="7" eb="10">
      <t>ゼンネンド</t>
    </rPh>
    <rPh sb="10" eb="11">
      <t>ヒ</t>
    </rPh>
    <phoneticPr fontId="4"/>
  </si>
  <si>
    <t>車両毎の燃料使用量や走行距離の把握・記録・社内共有</t>
    <phoneticPr fontId="4"/>
  </si>
  <si>
    <t>エコドライブ推進に関する責任者の設置・エコドライブ推進体制の整備</t>
    <phoneticPr fontId="4"/>
  </si>
  <si>
    <t>運転する全社員に対するエコドライブに関する研修・教育の実施</t>
    <phoneticPr fontId="4"/>
  </si>
  <si>
    <t>チェックシート等を活用したエコドライブの実践</t>
    <phoneticPr fontId="4"/>
  </si>
  <si>
    <t>優良エコドライバーへの表彰等</t>
    <phoneticPr fontId="4"/>
  </si>
  <si>
    <t>輸送や配車効率の向上に資する情報システム（車両動態システム等）の導入</t>
    <phoneticPr fontId="4"/>
  </si>
  <si>
    <t>日常及び定期的な保守・点検・修理の実施・記録</t>
    <phoneticPr fontId="4"/>
  </si>
  <si>
    <t>目的地までの効率的なルート選定</t>
    <phoneticPr fontId="4"/>
  </si>
  <si>
    <t>目的や輸送量に応じた車両を使用するなどの適切な車両管理</t>
    <phoneticPr fontId="4"/>
  </si>
  <si>
    <t>燃費が向上する装置等の計画的な導入（アイドリングストップ装置や低燃費タイヤ等）</t>
    <phoneticPr fontId="4"/>
  </si>
  <si>
    <t>次世代自動車の導入（電気自動車、低炭素ディーゼル自動車、ハイブリッド自動車等）</t>
    <phoneticPr fontId="4"/>
  </si>
  <si>
    <t>事業所内における空調設定温度のルール化</t>
    <phoneticPr fontId="4"/>
  </si>
  <si>
    <t>事業所内における照明点灯に関するルール化（休憩時間や不使用時の消灯等）</t>
    <phoneticPr fontId="4"/>
  </si>
  <si>
    <t>省エネルギー設備（LED照明、空調、給湯器、冷蔵庫等）への更新</t>
    <phoneticPr fontId="4"/>
  </si>
  <si>
    <t>LPGの単位換算係数</t>
    <rPh sb="4" eb="6">
      <t>タンイ</t>
    </rPh>
    <rPh sb="6" eb="8">
      <t>カンザン</t>
    </rPh>
    <rPh sb="8" eb="10">
      <t>ケイスウ</t>
    </rPh>
    <phoneticPr fontId="4"/>
  </si>
  <si>
    <t>kg/リットル</t>
    <phoneticPr fontId="4"/>
  </si>
  <si>
    <t>（参考）日本LPガス協会HP：</t>
    <rPh sb="1" eb="3">
      <t>サンコウ</t>
    </rPh>
    <rPh sb="4" eb="6">
      <t>ニホン</t>
    </rPh>
    <rPh sb="10" eb="12">
      <t>キョウカイ</t>
    </rPh>
    <phoneticPr fontId="4"/>
  </si>
  <si>
    <t>https://www.j-lpgas.gr.jp/nenten/co2.html</t>
    <phoneticPr fontId="4"/>
  </si>
  <si>
    <t>液化天然ガス(LNG)</t>
  </si>
  <si>
    <t>液化天然ガス(LNG)</t>
    <phoneticPr fontId="4"/>
  </si>
  <si>
    <t>液化石油ガス(LPG)</t>
    <phoneticPr fontId="4"/>
  </si>
  <si>
    <t>水素</t>
    <rPh sb="0" eb="2">
      <t>スイソ</t>
    </rPh>
    <phoneticPr fontId="4"/>
  </si>
  <si>
    <t>←車両用</t>
    <rPh sb="1" eb="4">
      <t>シャリョウヨウ</t>
    </rPh>
    <phoneticPr fontId="4"/>
  </si>
  <si>
    <t>←事業所用</t>
    <rPh sb="1" eb="4">
      <t>ジギョウショ</t>
    </rPh>
    <rPh sb="4" eb="5">
      <t>ヨウ</t>
    </rPh>
    <phoneticPr fontId="4"/>
  </si>
  <si>
    <t>LPGの単位に注意！</t>
    <rPh sb="4" eb="6">
      <t>タンイ</t>
    </rPh>
    <rPh sb="7" eb="9">
      <t>チュウイ</t>
    </rPh>
    <phoneticPr fontId="4"/>
  </si>
  <si>
    <t>車両関係</t>
    <rPh sb="0" eb="2">
      <t>シャリョウ</t>
    </rPh>
    <rPh sb="2" eb="4">
      <t>カンケイ</t>
    </rPh>
    <phoneticPr fontId="4"/>
  </si>
  <si>
    <t>事業所関係</t>
    <rPh sb="0" eb="3">
      <t>ジギョウショ</t>
    </rPh>
    <rPh sb="3" eb="5">
      <t>カンケイ</t>
    </rPh>
    <phoneticPr fontId="4"/>
  </si>
  <si>
    <t>電気（充電）</t>
    <rPh sb="0" eb="2">
      <t>デンキ</t>
    </rPh>
    <rPh sb="3" eb="5">
      <t>ジュウデン</t>
    </rPh>
    <phoneticPr fontId="4"/>
  </si>
  <si>
    <t>t-CO3</t>
  </si>
  <si>
    <t>t-CO4</t>
  </si>
  <si>
    <t>t-CO5</t>
  </si>
  <si>
    <t>※AF～BN列はアップロード時非表示→パスワード付き保護</t>
    <rPh sb="6" eb="7">
      <t>レツ</t>
    </rPh>
    <rPh sb="14" eb="15">
      <t>ジ</t>
    </rPh>
    <rPh sb="15" eb="18">
      <t>ヒヒョウジ</t>
    </rPh>
    <rPh sb="24" eb="25">
      <t>ツ</t>
    </rPh>
    <rPh sb="26" eb="28">
      <t>ホゴ</t>
    </rPh>
    <phoneticPr fontId="4"/>
  </si>
  <si>
    <t>◆削減目標（車両関係）</t>
    <rPh sb="1" eb="3">
      <t>サクゲン</t>
    </rPh>
    <rPh sb="3" eb="5">
      <t>モクヒョウ</t>
    </rPh>
    <rPh sb="6" eb="8">
      <t>シャリョウ</t>
    </rPh>
    <rPh sb="8" eb="10">
      <t>カンケイ</t>
    </rPh>
    <phoneticPr fontId="4"/>
  </si>
  <si>
    <t>エネルギー使用割合（車両関係）</t>
    <rPh sb="5" eb="7">
      <t>シヨウ</t>
    </rPh>
    <rPh sb="7" eb="9">
      <t>ワリアイ</t>
    </rPh>
    <rPh sb="10" eb="12">
      <t>シャリョウ</t>
    </rPh>
    <rPh sb="12" eb="14">
      <t>カンケイ</t>
    </rPh>
    <phoneticPr fontId="4"/>
  </si>
  <si>
    <t>温室効果ガス排出量（車両関係）</t>
    <rPh sb="0" eb="4">
      <t>オンシツコウカ</t>
    </rPh>
    <rPh sb="6" eb="9">
      <t>ハイシュツリョウ</t>
    </rPh>
    <rPh sb="10" eb="12">
      <t>シャリョウ</t>
    </rPh>
    <rPh sb="12" eb="14">
      <t>カンケイ</t>
    </rPh>
    <phoneticPr fontId="4"/>
  </si>
  <si>
    <t>【車両関係】</t>
    <rPh sb="1" eb="3">
      <t>シャリョウ</t>
    </rPh>
    <rPh sb="3" eb="5">
      <t>カンケイ</t>
    </rPh>
    <phoneticPr fontId="4"/>
  </si>
  <si>
    <t>【車両】ガソリン</t>
  </si>
  <si>
    <t>【車両関係】</t>
    <phoneticPr fontId="4"/>
  </si>
  <si>
    <t>〈車両関係〉</t>
    <rPh sb="1" eb="3">
      <t>シャリョウ</t>
    </rPh>
    <rPh sb="3" eb="5">
      <t>カンケイ</t>
    </rPh>
    <phoneticPr fontId="4"/>
  </si>
  <si>
    <t>車種</t>
    <rPh sb="0" eb="2">
      <t>シャシュ</t>
    </rPh>
    <phoneticPr fontId="4"/>
  </si>
  <si>
    <t>全台数</t>
    <rPh sb="0" eb="1">
      <t>ゼン</t>
    </rPh>
    <rPh sb="1" eb="3">
      <t>ダイスウ</t>
    </rPh>
    <phoneticPr fontId="4"/>
  </si>
  <si>
    <t>低炭素ディーゼル自動車・天然ガス自動車</t>
    <rPh sb="0" eb="3">
      <t>テイタンソ</t>
    </rPh>
    <rPh sb="8" eb="11">
      <t>ジドウシャ</t>
    </rPh>
    <rPh sb="12" eb="14">
      <t>テンネン</t>
    </rPh>
    <rPh sb="16" eb="19">
      <t>ジドウシャ</t>
    </rPh>
    <phoneticPr fontId="4"/>
  </si>
  <si>
    <t>ハイブリッド自動車</t>
    <rPh sb="6" eb="9">
      <t>ジドウシャ</t>
    </rPh>
    <phoneticPr fontId="4"/>
  </si>
  <si>
    <t>EV・PHV・水素自動車</t>
    <rPh sb="7" eb="9">
      <t>スイソ</t>
    </rPh>
    <rPh sb="9" eb="12">
      <t>ジドウシャ</t>
    </rPh>
    <phoneticPr fontId="4"/>
  </si>
  <si>
    <t>全台数のうち下記の車種</t>
    <rPh sb="0" eb="1">
      <t>ゼン</t>
    </rPh>
    <rPh sb="1" eb="3">
      <t>ダイスウ</t>
    </rPh>
    <rPh sb="6" eb="8">
      <t>カキ</t>
    </rPh>
    <rPh sb="9" eb="11">
      <t>シャシュ</t>
    </rPh>
    <phoneticPr fontId="4"/>
  </si>
  <si>
    <t>台数</t>
    <rPh sb="0" eb="2">
      <t>ダイスウ</t>
    </rPh>
    <phoneticPr fontId="4"/>
  </si>
  <si>
    <t>トラック</t>
    <phoneticPr fontId="4"/>
  </si>
  <si>
    <t>バス</t>
    <phoneticPr fontId="4"/>
  </si>
  <si>
    <t>タクシー</t>
    <phoneticPr fontId="4"/>
  </si>
  <si>
    <t>〈記入例〉
電気自動車の導入やエコドライブの実践などを実施したことにより、前年度より排出量が●%の削減となった。</t>
    <rPh sb="1" eb="3">
      <t>キニュウ</t>
    </rPh>
    <rPh sb="3" eb="4">
      <t>レイ</t>
    </rPh>
    <rPh sb="6" eb="8">
      <t>デンキ</t>
    </rPh>
    <rPh sb="8" eb="11">
      <t>ジドウシャ</t>
    </rPh>
    <rPh sb="12" eb="14">
      <t>ドウニュウ</t>
    </rPh>
    <rPh sb="22" eb="24">
      <t>ジッセン</t>
    </rPh>
    <rPh sb="27" eb="29">
      <t>ジッシ</t>
    </rPh>
    <rPh sb="37" eb="40">
      <t>ゼンネンド</t>
    </rPh>
    <rPh sb="42" eb="44">
      <t>ハイシュツ</t>
    </rPh>
    <rPh sb="44" eb="45">
      <t>リョウ</t>
    </rPh>
    <phoneticPr fontId="4"/>
  </si>
  <si>
    <t>〈記入例〉
電気自動車の導入やエコドライブの実践などを実施したことにより、前年度より排出量が●%の削減となった。</t>
    <rPh sb="1" eb="3">
      <t>キニュウ</t>
    </rPh>
    <rPh sb="3" eb="4">
      <t>レイ</t>
    </rPh>
    <rPh sb="6" eb="8">
      <t>デンキ</t>
    </rPh>
    <rPh sb="8" eb="11">
      <t>ジドウシャ</t>
    </rPh>
    <rPh sb="12" eb="14">
      <t>ドウニュウ</t>
    </rPh>
    <rPh sb="22" eb="24">
      <t>ジッセン</t>
    </rPh>
    <rPh sb="27" eb="29">
      <t>ジッシ</t>
    </rPh>
    <rPh sb="37" eb="40">
      <t>ゼンネンド</t>
    </rPh>
    <rPh sb="42" eb="44">
      <t>ハイシュツ</t>
    </rPh>
    <rPh sb="44" eb="45">
      <t>リョウ</t>
    </rPh>
    <rPh sb="49" eb="51">
      <t>サクゲン</t>
    </rPh>
    <phoneticPr fontId="4"/>
  </si>
  <si>
    <t>t-CO2/千kWh</t>
    <rPh sb="6" eb="7">
      <t>セン</t>
    </rPh>
    <phoneticPr fontId="4"/>
  </si>
  <si>
    <t>（参考）評価確認シート</t>
    <rPh sb="4" eb="6">
      <t>ヒョウカ</t>
    </rPh>
    <rPh sb="6" eb="8">
      <t>カクニン</t>
    </rPh>
    <phoneticPr fontId="4"/>
  </si>
  <si>
    <t>評価項目</t>
    <rPh sb="0" eb="2">
      <t>ヒョウカ</t>
    </rPh>
    <rPh sb="2" eb="4">
      <t>コウモク</t>
    </rPh>
    <phoneticPr fontId="16"/>
  </si>
  <si>
    <t>配点
（最大）</t>
    <rPh sb="0" eb="2">
      <t>ハイテン</t>
    </rPh>
    <rPh sb="4" eb="6">
      <t>サイダイ</t>
    </rPh>
    <phoneticPr fontId="16"/>
  </si>
  <si>
    <t>評価点</t>
    <rPh sb="0" eb="2">
      <t>ヒョウカ</t>
    </rPh>
    <rPh sb="2" eb="3">
      <t>テン</t>
    </rPh>
    <phoneticPr fontId="16"/>
  </si>
  <si>
    <t>定量項目</t>
    <rPh sb="0" eb="2">
      <t>テイリョウ</t>
    </rPh>
    <rPh sb="2" eb="4">
      <t>コウモク</t>
    </rPh>
    <phoneticPr fontId="16"/>
  </si>
  <si>
    <t>排出量</t>
    <rPh sb="0" eb="2">
      <t>ハイシュツ</t>
    </rPh>
    <rPh sb="2" eb="3">
      <t>リョウ</t>
    </rPh>
    <phoneticPr fontId="16"/>
  </si>
  <si>
    <t>定性項目</t>
    <rPh sb="0" eb="4">
      <t>テイセイコウモク</t>
    </rPh>
    <phoneticPr fontId="16"/>
  </si>
  <si>
    <t>基本対策</t>
    <rPh sb="0" eb="2">
      <t>キホン</t>
    </rPh>
    <rPh sb="2" eb="4">
      <t>タイサク</t>
    </rPh>
    <phoneticPr fontId="16"/>
  </si>
  <si>
    <t>その他の対策</t>
    <rPh sb="2" eb="3">
      <t>タ</t>
    </rPh>
    <rPh sb="4" eb="6">
      <t>タイサク</t>
    </rPh>
    <phoneticPr fontId="16"/>
  </si>
  <si>
    <t>合計</t>
    <rPh sb="0" eb="2">
      <t>ゴウケイ</t>
    </rPh>
    <phoneticPr fontId="16"/>
  </si>
  <si>
    <t>⇒</t>
    <phoneticPr fontId="16"/>
  </si>
  <si>
    <t>評価</t>
    <rPh sb="0" eb="2">
      <t>ヒョウカ</t>
    </rPh>
    <phoneticPr fontId="16"/>
  </si>
  <si>
    <t>評価基準</t>
    <rPh sb="0" eb="2">
      <t>ヒョウカ</t>
    </rPh>
    <rPh sb="2" eb="4">
      <t>キジュン</t>
    </rPh>
    <phoneticPr fontId="16"/>
  </si>
  <si>
    <t>以上</t>
    <rPh sb="0" eb="2">
      <t>イジョウ</t>
    </rPh>
    <phoneticPr fontId="16"/>
  </si>
  <si>
    <t>未満</t>
    <rPh sb="0" eb="2">
      <t>ミマン</t>
    </rPh>
    <phoneticPr fontId="16"/>
  </si>
  <si>
    <t>S</t>
    <phoneticPr fontId="16"/>
  </si>
  <si>
    <t>B</t>
    <phoneticPr fontId="16"/>
  </si>
  <si>
    <t>※以下の行はアップロード時非表示→パスワード付き保護</t>
    <rPh sb="1" eb="3">
      <t>イカ</t>
    </rPh>
    <rPh sb="4" eb="5">
      <t>ギョウ</t>
    </rPh>
    <phoneticPr fontId="16"/>
  </si>
  <si>
    <t>【定量項目】</t>
    <rPh sb="1" eb="3">
      <t>テイリョウ</t>
    </rPh>
    <rPh sb="3" eb="5">
      <t>コウモク</t>
    </rPh>
    <phoneticPr fontId="16"/>
  </si>
  <si>
    <t>〈従来計算〉</t>
    <rPh sb="1" eb="3">
      <t>ジュウライ</t>
    </rPh>
    <rPh sb="3" eb="5">
      <t>ケイサン</t>
    </rPh>
    <phoneticPr fontId="16"/>
  </si>
  <si>
    <t>平均</t>
    <rPh sb="0" eb="2">
      <t>ヘイキン</t>
    </rPh>
    <phoneticPr fontId="16"/>
  </si>
  <si>
    <t>採点基準</t>
    <rPh sb="0" eb="2">
      <t>サイテン</t>
    </rPh>
    <rPh sb="2" eb="4">
      <t>キジュン</t>
    </rPh>
    <phoneticPr fontId="4"/>
  </si>
  <si>
    <t>〈基準年度〉</t>
    <rPh sb="1" eb="3">
      <t>キジュン</t>
    </rPh>
    <rPh sb="3" eb="5">
      <t>ネンド</t>
    </rPh>
    <phoneticPr fontId="4"/>
  </si>
  <si>
    <t>以上</t>
    <rPh sb="0" eb="2">
      <t>イジョウ</t>
    </rPh>
    <phoneticPr fontId="4"/>
  </si>
  <si>
    <t>未満</t>
    <rPh sb="0" eb="2">
      <t>ミマン</t>
    </rPh>
    <phoneticPr fontId="4"/>
  </si>
  <si>
    <t>配点</t>
    <rPh sb="0" eb="2">
      <t>ハイテン</t>
    </rPh>
    <phoneticPr fontId="4"/>
  </si>
  <si>
    <t>排出量（t-CO2）</t>
    <rPh sb="0" eb="2">
      <t>ハイシュツ</t>
    </rPh>
    <rPh sb="2" eb="3">
      <t>リョウ</t>
    </rPh>
    <phoneticPr fontId="16"/>
  </si>
  <si>
    <t>-</t>
    <phoneticPr fontId="16"/>
  </si>
  <si>
    <t>削減率（％）</t>
    <rPh sb="0" eb="2">
      <t>サクゲン</t>
    </rPh>
    <rPh sb="2" eb="3">
      <t>リツ</t>
    </rPh>
    <phoneticPr fontId="16"/>
  </si>
  <si>
    <t>〈仮定値計算〉</t>
    <rPh sb="1" eb="3">
      <t>カテイ</t>
    </rPh>
    <rPh sb="3" eb="4">
      <t>チ</t>
    </rPh>
    <rPh sb="4" eb="6">
      <t>ケイサン</t>
    </rPh>
    <phoneticPr fontId="16"/>
  </si>
  <si>
    <t>■基準年度仮定値の算出</t>
    <rPh sb="1" eb="3">
      <t>キジュン</t>
    </rPh>
    <rPh sb="3" eb="5">
      <t>ネンド</t>
    </rPh>
    <rPh sb="5" eb="7">
      <t>カテイ</t>
    </rPh>
    <rPh sb="7" eb="8">
      <t>チ</t>
    </rPh>
    <rPh sb="9" eb="11">
      <t>サンシュツ</t>
    </rPh>
    <phoneticPr fontId="16"/>
  </si>
  <si>
    <t>エネルギー起源CO2</t>
    <rPh sb="5" eb="7">
      <t>キゲン</t>
    </rPh>
    <phoneticPr fontId="16"/>
  </si>
  <si>
    <t>基準年度
排出量
〈仮定値〉</t>
    <rPh sb="0" eb="2">
      <t>キジュン</t>
    </rPh>
    <rPh sb="2" eb="4">
      <t>ネンド</t>
    </rPh>
    <rPh sb="5" eb="7">
      <t>ハイシュツ</t>
    </rPh>
    <rPh sb="7" eb="8">
      <t>リョウ</t>
    </rPh>
    <rPh sb="10" eb="12">
      <t>カテイ</t>
    </rPh>
    <rPh sb="12" eb="13">
      <t>チ</t>
    </rPh>
    <phoneticPr fontId="16"/>
  </si>
  <si>
    <t>電気
※仮定値計算</t>
    <rPh sb="0" eb="2">
      <t>デンキ</t>
    </rPh>
    <rPh sb="4" eb="6">
      <t>カテイ</t>
    </rPh>
    <rPh sb="6" eb="7">
      <t>チ</t>
    </rPh>
    <rPh sb="7" eb="9">
      <t>ケイサン</t>
    </rPh>
    <phoneticPr fontId="16"/>
  </si>
  <si>
    <t>電気以外
（ガス他）</t>
    <rPh sb="0" eb="2">
      <t>デンキ</t>
    </rPh>
    <rPh sb="2" eb="4">
      <t>イガイ</t>
    </rPh>
    <rPh sb="8" eb="9">
      <t>ホカ</t>
    </rPh>
    <phoneticPr fontId="16"/>
  </si>
  <si>
    <t>使用電力量</t>
    <rPh sb="0" eb="2">
      <t>シヨウ</t>
    </rPh>
    <rPh sb="2" eb="4">
      <t>デンリョク</t>
    </rPh>
    <rPh sb="4" eb="5">
      <t>リョウ</t>
    </rPh>
    <phoneticPr fontId="16"/>
  </si>
  <si>
    <t>排出係数</t>
    <rPh sb="0" eb="2">
      <t>ハイシュツ</t>
    </rPh>
    <rPh sb="2" eb="4">
      <t>ケイスウ</t>
    </rPh>
    <phoneticPr fontId="16"/>
  </si>
  <si>
    <t>電気事業者からの買電</t>
    <rPh sb="0" eb="2">
      <t>デンキ</t>
    </rPh>
    <rPh sb="2" eb="5">
      <t>ジギョウシャ</t>
    </rPh>
    <rPh sb="8" eb="10">
      <t>カイデン</t>
    </rPh>
    <phoneticPr fontId="16"/>
  </si>
  <si>
    <t>太陽光発電の自家消費</t>
    <rPh sb="0" eb="3">
      <t>タイヨウコウ</t>
    </rPh>
    <rPh sb="3" eb="5">
      <t>ハツデン</t>
    </rPh>
    <rPh sb="6" eb="8">
      <t>ジカ</t>
    </rPh>
    <rPh sb="8" eb="10">
      <t>ショウヒ</t>
    </rPh>
    <phoneticPr fontId="16"/>
  </si>
  <si>
    <t>東北電力
残差ﾒﾆｭｰ
(標準設定)</t>
    <rPh sb="0" eb="2">
      <t>トウホク</t>
    </rPh>
    <rPh sb="2" eb="4">
      <t>デンリョク</t>
    </rPh>
    <rPh sb="5" eb="7">
      <t>ザンサ</t>
    </rPh>
    <rPh sb="13" eb="15">
      <t>ヒョウジュン</t>
    </rPh>
    <rPh sb="15" eb="17">
      <t>セッテイ</t>
    </rPh>
    <phoneticPr fontId="16"/>
  </si>
  <si>
    <t>千kWh</t>
    <rPh sb="0" eb="1">
      <t>セン</t>
    </rPh>
    <phoneticPr fontId="16"/>
  </si>
  <si>
    <t>t-CO2/千kWh</t>
    <phoneticPr fontId="16"/>
  </si>
  <si>
    <t>t-CO2</t>
    <phoneticPr fontId="16"/>
  </si>
  <si>
    <t>【定性項目】</t>
    <rPh sb="1" eb="3">
      <t>テイセイ</t>
    </rPh>
    <rPh sb="3" eb="5">
      <t>コウモク</t>
    </rPh>
    <phoneticPr fontId="16"/>
  </si>
  <si>
    <t>〈基本対策〉</t>
    <rPh sb="1" eb="3">
      <t>キホン</t>
    </rPh>
    <rPh sb="3" eb="5">
      <t>タイサク</t>
    </rPh>
    <phoneticPr fontId="16"/>
  </si>
  <si>
    <t>〈その他の対策〉</t>
    <rPh sb="3" eb="4">
      <t>タ</t>
    </rPh>
    <rPh sb="5" eb="7">
      <t>タイサク</t>
    </rPh>
    <phoneticPr fontId="16"/>
  </si>
  <si>
    <t>実施済</t>
    <rPh sb="0" eb="2">
      <t>ジッシ</t>
    </rPh>
    <rPh sb="2" eb="3">
      <t>ズ</t>
    </rPh>
    <phoneticPr fontId="16"/>
  </si>
  <si>
    <t>該当項目数</t>
    <rPh sb="0" eb="2">
      <t>ガイトウ</t>
    </rPh>
    <rPh sb="2" eb="4">
      <t>コウモク</t>
    </rPh>
    <rPh sb="4" eb="5">
      <t>スウ</t>
    </rPh>
    <phoneticPr fontId="16"/>
  </si>
  <si>
    <t>再エネ設備（太陽光発電等）の導入や再エネ電力の調達</t>
    <phoneticPr fontId="4"/>
  </si>
  <si>
    <t>省エネの取り組み</t>
    <rPh sb="0" eb="1">
      <t>ショウ</t>
    </rPh>
    <rPh sb="4" eb="5">
      <t>ト</t>
    </rPh>
    <rPh sb="6" eb="7">
      <t>ク</t>
    </rPh>
    <phoneticPr fontId="4"/>
  </si>
  <si>
    <t>ver260401-2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</si>
</sst>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
    <numFmt numFmtId="177" formatCode="0.0_ "/>
    <numFmt numFmtId="178" formatCode="#,##0;&quot;▲ &quot;#,##0"/>
    <numFmt numFmtId="179" formatCode="#,##0.0000_ "/>
    <numFmt numFmtId="180" formatCode="0.00_ "/>
    <numFmt numFmtId="181" formatCode="0.0_);[Red]\(0.0\)"/>
    <numFmt numFmtId="182" formatCode="0.0000_ "/>
    <numFmt numFmtId="183" formatCode="0.00_);[Red]\(0.00\)"/>
    <numFmt numFmtId="184" formatCode="0.000_ "/>
    <numFmt numFmtId="185" formatCode="#,##0.0_ ;[Red]\-#,##0.0\ "/>
    <numFmt numFmtId="186" formatCode="000"/>
    <numFmt numFmtId="187" formatCode="0000"/>
    <numFmt numFmtId="188" formatCode="#"/>
    <numFmt numFmtId="189" formatCode="0.00;[Red]0.00"/>
    <numFmt numFmtId="190" formatCode="#,##0.00_ ;[Red]\-#,##0.00\ "/>
    <numFmt numFmtId="191" formatCode="0.00_ ;[Red]\-0.00\ "/>
    <numFmt numFmtId="192" formatCode="0.0_ ;[Red]\-0.0\ "/>
    <numFmt numFmtId="193" formatCode="0&quot;台&quot;"/>
    <numFmt numFmtId="194" formatCode="0_ "/>
  </numFmts>
  <fonts count="6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b/>
      <sz val="16"/>
      <color theme="1"/>
      <name val="メイリオ"/>
      <family val="3"/>
      <charset val="128"/>
    </font>
    <font>
      <vertAlign val="superscript"/>
      <sz val="11"/>
      <color theme="1"/>
      <name val="メイリオ"/>
      <family val="3"/>
      <charset val="128"/>
    </font>
    <font>
      <b/>
      <sz val="24"/>
      <color rgb="FFFF0000"/>
      <name val="メイリオ"/>
      <family val="3"/>
      <charset val="128"/>
    </font>
    <font>
      <sz val="11"/>
      <color rgb="FFFF0000"/>
      <name val="メイリオ"/>
      <family val="3"/>
      <charset val="128"/>
    </font>
    <font>
      <b/>
      <sz val="11"/>
      <color theme="1"/>
      <name val="メイリオ"/>
      <family val="3"/>
      <charset val="128"/>
    </font>
    <font>
      <b/>
      <sz val="11"/>
      <color rgb="FFFF0000"/>
      <name val="メイリオ"/>
      <family val="3"/>
      <charset val="128"/>
    </font>
    <font>
      <sz val="10"/>
      <color theme="1"/>
      <name val="メイリオ"/>
      <family val="3"/>
      <charset val="128"/>
    </font>
    <font>
      <sz val="11"/>
      <name val="メイリオ"/>
      <family val="3"/>
      <charset val="128"/>
    </font>
    <font>
      <sz val="11"/>
      <color theme="1"/>
      <name val="Yu Gothic"/>
      <family val="3"/>
      <charset val="128"/>
      <scheme val="minor"/>
    </font>
    <font>
      <sz val="6"/>
      <name val="Yu Gothic"/>
      <family val="2"/>
      <charset val="128"/>
      <scheme val="minor"/>
    </font>
    <font>
      <sz val="10"/>
      <name val="メイリオ"/>
      <family val="3"/>
      <charset val="128"/>
    </font>
    <font>
      <b/>
      <sz val="14"/>
      <color theme="1"/>
      <name val="メイリオ"/>
      <family val="3"/>
      <charset val="128"/>
    </font>
    <font>
      <sz val="11"/>
      <color theme="1"/>
      <name val="Yu Gothic"/>
      <family val="2"/>
      <scheme val="minor"/>
    </font>
    <font>
      <sz val="11"/>
      <color rgb="FFFF0000"/>
      <name val="Yu Gothic"/>
      <family val="2"/>
      <charset val="128"/>
      <scheme val="minor"/>
    </font>
    <font>
      <sz val="11"/>
      <name val="ＭＳ Ｐゴシック"/>
      <family val="3"/>
      <charset val="128"/>
    </font>
    <font>
      <b/>
      <sz val="9"/>
      <name val="メイリオ"/>
      <family val="3"/>
      <charset val="128"/>
    </font>
    <font>
      <sz val="6"/>
      <name val="ＭＳ Ｐゴシック"/>
      <family val="3"/>
      <charset val="128"/>
    </font>
    <font>
      <sz val="9"/>
      <name val="メイリオ"/>
      <family val="3"/>
      <charset val="128"/>
    </font>
    <font>
      <sz val="10"/>
      <color indexed="8"/>
      <name val="メイリオ"/>
      <family val="3"/>
      <charset val="128"/>
    </font>
    <font>
      <vertAlign val="superscript"/>
      <sz val="10"/>
      <color indexed="8"/>
      <name val="メイリオ"/>
      <family val="3"/>
      <charset val="128"/>
    </font>
    <font>
      <b/>
      <sz val="12"/>
      <color rgb="FFFF0000"/>
      <name val="Yu Gothic"/>
      <family val="3"/>
      <charset val="128"/>
      <scheme val="minor"/>
    </font>
    <font>
      <sz val="10"/>
      <name val="ＭＳ Ｐゴシック"/>
      <family val="3"/>
      <charset val="128"/>
    </font>
    <font>
      <sz val="10"/>
      <color rgb="FFFF0000"/>
      <name val="メイリオ"/>
      <family val="3"/>
      <charset val="128"/>
    </font>
    <font>
      <b/>
      <sz val="14"/>
      <color rgb="FFFF0000"/>
      <name val="メイリオ"/>
      <family val="3"/>
      <charset val="128"/>
    </font>
    <font>
      <sz val="9"/>
      <color rgb="FF000000"/>
      <name val="Meiryo UI"/>
      <family val="3"/>
      <charset val="128"/>
    </font>
    <font>
      <b/>
      <sz val="11"/>
      <name val="メイリオ"/>
      <family val="3"/>
      <charset val="128"/>
    </font>
    <font>
      <b/>
      <sz val="18"/>
      <name val="メイリオ"/>
      <family val="3"/>
      <charset val="128"/>
    </font>
    <font>
      <b/>
      <sz val="18"/>
      <color theme="1"/>
      <name val="メイリオ"/>
      <family val="3"/>
      <charset val="128"/>
    </font>
    <font>
      <u/>
      <sz val="11"/>
      <color theme="10"/>
      <name val="Yu Gothic"/>
      <family val="2"/>
      <scheme val="minor"/>
    </font>
    <font>
      <vertAlign val="superscript"/>
      <sz val="11"/>
      <color rgb="FFFF0000"/>
      <name val="メイリオ"/>
      <family val="3"/>
      <charset val="128"/>
    </font>
    <font>
      <b/>
      <sz val="28"/>
      <color theme="0"/>
      <name val="メイリオ"/>
      <family val="3"/>
      <charset val="128"/>
    </font>
    <font>
      <b/>
      <sz val="20"/>
      <color theme="1"/>
      <name val="メイリオ"/>
      <family val="3"/>
      <charset val="128"/>
    </font>
    <font>
      <sz val="20"/>
      <color theme="1"/>
      <name val="メイリオ"/>
      <family val="3"/>
      <charset val="128"/>
    </font>
    <font>
      <sz val="12"/>
      <color theme="1"/>
      <name val="メイリオ"/>
      <family val="3"/>
      <charset val="128"/>
    </font>
    <font>
      <sz val="11"/>
      <name val="Yu Gothic"/>
      <family val="2"/>
      <scheme val="minor"/>
    </font>
    <font>
      <vertAlign val="subscript"/>
      <sz val="11"/>
      <color theme="1"/>
      <name val="メイリオ"/>
      <family val="3"/>
      <charset val="128"/>
    </font>
    <font>
      <b/>
      <sz val="11"/>
      <color theme="0"/>
      <name val="メイリオ"/>
      <family val="3"/>
      <charset val="128"/>
    </font>
    <font>
      <sz val="18"/>
      <color rgb="FF20B2AA"/>
      <name val="メイリオ"/>
      <family val="3"/>
      <charset val="128"/>
    </font>
    <font>
      <vertAlign val="superscript"/>
      <sz val="10"/>
      <color rgb="FFFF0000"/>
      <name val="メイリオ"/>
      <family val="3"/>
      <charset val="128"/>
    </font>
    <font>
      <b/>
      <sz val="20"/>
      <color rgb="FF20B2AA"/>
      <name val="メイリオ"/>
      <family val="3"/>
      <charset val="128"/>
    </font>
    <font>
      <sz val="14"/>
      <color theme="1"/>
      <name val="メイリオ"/>
      <family val="3"/>
      <charset val="128"/>
    </font>
    <font>
      <b/>
      <sz val="11"/>
      <color theme="5"/>
      <name val="メイリオ"/>
      <family val="3"/>
      <charset val="128"/>
    </font>
    <font>
      <b/>
      <sz val="12"/>
      <color rgb="FFFF0000"/>
      <name val="メイリオ"/>
      <family val="3"/>
      <charset val="128"/>
    </font>
    <font>
      <b/>
      <sz val="12"/>
      <color indexed="8"/>
      <name val="メイリオ"/>
      <family val="3"/>
      <charset val="128"/>
    </font>
    <font>
      <b/>
      <u/>
      <sz val="8"/>
      <color theme="1"/>
      <name val="メイリオ"/>
      <family val="3"/>
      <charset val="128"/>
    </font>
    <font>
      <sz val="9"/>
      <color theme="1"/>
      <name val="メイリオ"/>
      <family val="3"/>
      <charset val="128"/>
    </font>
    <font>
      <sz val="9"/>
      <color indexed="8"/>
      <name val="メイリオ"/>
      <family val="3"/>
      <charset val="128"/>
    </font>
    <font>
      <b/>
      <u/>
      <sz val="14"/>
      <color theme="10"/>
      <name val="Yu Gothic"/>
      <family val="2"/>
      <scheme val="minor"/>
    </font>
    <font>
      <b/>
      <u/>
      <sz val="14"/>
      <color theme="10"/>
      <name val="メイリオ"/>
      <family val="3"/>
      <charset val="128"/>
    </font>
    <font>
      <b/>
      <sz val="14"/>
      <color theme="10"/>
      <name val="メイリオ"/>
      <family val="3"/>
      <charset val="128"/>
    </font>
    <font>
      <sz val="18"/>
      <color rgb="FFFF0000"/>
      <name val="メイリオ"/>
      <family val="3"/>
      <charset val="128"/>
    </font>
    <font>
      <b/>
      <sz val="14"/>
      <color indexed="8"/>
      <name val="メイリオ"/>
      <family val="3"/>
      <charset val="128"/>
    </font>
    <font>
      <b/>
      <sz val="16"/>
      <name val="メイリオ"/>
      <family val="3"/>
      <charset val="128"/>
    </font>
    <font>
      <b/>
      <sz val="16"/>
      <color indexed="8"/>
      <name val="メイリオ"/>
      <family val="3"/>
      <charset val="128"/>
    </font>
    <font>
      <b/>
      <sz val="14"/>
      <name val="メイリオ"/>
      <family val="3"/>
      <charset val="128"/>
    </font>
    <font>
      <sz val="11"/>
      <color theme="1" tint="0.499984740745262"/>
      <name val="メイリオ"/>
      <family val="3"/>
      <charset val="128"/>
    </font>
    <font>
      <sz val="10"/>
      <color theme="0"/>
      <name val="メイリオ"/>
      <family val="3"/>
      <charset val="128"/>
    </font>
    <font>
      <b/>
      <sz val="12"/>
      <color theme="0"/>
      <name val="メイリオ"/>
      <family val="3"/>
      <charset val="128"/>
    </font>
  </fonts>
  <fills count="26">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theme="5"/>
        <bgColor indexed="64"/>
      </patternFill>
    </fill>
    <fill>
      <patternFill patternType="solid">
        <fgColor rgb="FFBA8CDC"/>
        <bgColor indexed="64"/>
      </patternFill>
    </fill>
    <fill>
      <patternFill patternType="solid">
        <fgColor rgb="FF20B2AA"/>
        <bgColor indexed="64"/>
      </patternFill>
    </fill>
    <fill>
      <patternFill patternType="solid">
        <fgColor rgb="FF16D8C1"/>
        <bgColor indexed="64"/>
      </patternFill>
    </fill>
    <fill>
      <patternFill patternType="solid">
        <fgColor rgb="FFECECEC"/>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auto="1"/>
      </right>
      <top/>
      <bottom style="hair">
        <color auto="1"/>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bottom/>
      <diagonal/>
    </border>
    <border>
      <left style="hair">
        <color auto="1"/>
      </left>
      <right style="hair">
        <color auto="1"/>
      </right>
      <top/>
      <bottom style="hair">
        <color auto="1"/>
      </bottom>
      <diagonal/>
    </border>
    <border>
      <left style="thin">
        <color indexed="64"/>
      </left>
      <right style="thin">
        <color indexed="64"/>
      </right>
      <top style="hair">
        <color indexed="64"/>
      </top>
      <bottom style="thin">
        <color indexed="64"/>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hair">
        <color indexed="64"/>
      </left>
      <right style="thin">
        <color indexed="64"/>
      </right>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thin">
        <color auto="1"/>
      </bottom>
      <diagonal/>
    </border>
    <border>
      <left style="hair">
        <color indexed="64"/>
      </left>
      <right style="thin">
        <color auto="1"/>
      </right>
      <top style="hair">
        <color indexed="64"/>
      </top>
      <bottom style="thin">
        <color auto="1"/>
      </bottom>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s>
  <cellStyleXfs count="11">
    <xf numFmtId="0" fontId="0" fillId="0" borderId="0"/>
    <xf numFmtId="0" fontId="3" fillId="0" borderId="0">
      <alignment vertical="center"/>
    </xf>
    <xf numFmtId="38" fontId="19" fillId="0" borderId="0" applyFont="0" applyFill="0" applyBorder="0" applyAlignment="0" applyProtection="0">
      <alignment vertical="center"/>
    </xf>
    <xf numFmtId="0" fontId="21" fillId="0" borderId="0">
      <alignment vertical="center"/>
    </xf>
    <xf numFmtId="0" fontId="2" fillId="0" borderId="0">
      <alignment vertical="center"/>
    </xf>
    <xf numFmtId="0" fontId="21" fillId="0" borderId="0"/>
    <xf numFmtId="0" fontId="15" fillId="0" borderId="0">
      <alignment vertical="center"/>
    </xf>
    <xf numFmtId="38" fontId="2" fillId="0" borderId="0" applyFont="0" applyFill="0" applyBorder="0" applyAlignment="0" applyProtection="0">
      <alignment vertical="center"/>
    </xf>
    <xf numFmtId="9" fontId="19" fillId="0" borderId="0" applyFont="0" applyFill="0" applyBorder="0" applyAlignment="0" applyProtection="0">
      <alignment vertical="center"/>
    </xf>
    <xf numFmtId="0" fontId="35" fillId="0" borderId="0" applyNumberFormat="0" applyFill="0" applyBorder="0" applyAlignment="0" applyProtection="0"/>
    <xf numFmtId="0" fontId="1" fillId="0" borderId="0">
      <alignment vertical="center"/>
    </xf>
  </cellStyleXfs>
  <cellXfs count="695">
    <xf numFmtId="0" fontId="0" fillId="0" borderId="0" xfId="0"/>
    <xf numFmtId="0" fontId="5" fillId="0" borderId="0" xfId="0" applyFont="1" applyAlignment="1">
      <alignment vertical="center"/>
    </xf>
    <xf numFmtId="0" fontId="5" fillId="11" borderId="0" xfId="0" applyFont="1" applyFill="1" applyAlignment="1">
      <alignment vertical="center"/>
    </xf>
    <xf numFmtId="0" fontId="39" fillId="11" borderId="0" xfId="0" applyFont="1" applyFill="1" applyAlignment="1">
      <alignment vertical="center"/>
    </xf>
    <xf numFmtId="0" fontId="40" fillId="2" borderId="1" xfId="0" applyFont="1" applyFill="1" applyBorder="1" applyAlignment="1" applyProtection="1">
      <alignment horizontal="right" vertical="center"/>
      <protection locked="0"/>
    </xf>
    <xf numFmtId="38" fontId="5" fillId="2" borderId="1" xfId="2" applyFont="1" applyFill="1" applyBorder="1" applyAlignment="1" applyProtection="1">
      <alignment horizontal="center" vertical="center" shrinkToFit="1"/>
      <protection locked="0"/>
    </xf>
    <xf numFmtId="38" fontId="5" fillId="2" borderId="10" xfId="2" applyFont="1" applyFill="1" applyBorder="1" applyAlignment="1" applyProtection="1">
      <alignment horizontal="center" vertical="center" shrinkToFit="1"/>
      <protection locked="0"/>
    </xf>
    <xf numFmtId="0" fontId="5" fillId="11" borderId="49"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186" fontId="5" fillId="2" borderId="15" xfId="0" applyNumberFormat="1" applyFont="1" applyFill="1" applyBorder="1" applyAlignment="1" applyProtection="1">
      <alignment horizontal="center" vertical="center"/>
      <protection locked="0"/>
    </xf>
    <xf numFmtId="187" fontId="5" fillId="2" borderId="9" xfId="0" applyNumberFormat="1" applyFont="1" applyFill="1" applyBorder="1" applyAlignment="1" applyProtection="1">
      <alignment horizontal="center" vertical="center"/>
      <protection locked="0"/>
    </xf>
    <xf numFmtId="0" fontId="5" fillId="3" borderId="0" xfId="0" applyFont="1" applyFill="1" applyAlignment="1" applyProtection="1">
      <alignment vertical="center"/>
      <protection hidden="1"/>
    </xf>
    <xf numFmtId="0" fontId="39"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40" fillId="0" borderId="0" xfId="0" applyFont="1" applyAlignment="1" applyProtection="1">
      <alignment vertical="center"/>
      <protection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9" fillId="3" borderId="0" xfId="0" applyFont="1" applyFill="1" applyAlignment="1" applyProtection="1">
      <alignment horizontal="right" vertical="center"/>
      <protection hidden="1"/>
    </xf>
    <xf numFmtId="0" fontId="9" fillId="11" borderId="0" xfId="0" applyFont="1" applyFill="1" applyAlignment="1" applyProtection="1">
      <alignment horizontal="right" vertical="center"/>
      <protection hidden="1"/>
    </xf>
    <xf numFmtId="0" fontId="9" fillId="11" borderId="0" xfId="0" applyFont="1" applyFill="1" applyAlignment="1" applyProtection="1">
      <alignment horizontal="left" vertical="center"/>
      <protection hidden="1"/>
    </xf>
    <xf numFmtId="0" fontId="5" fillId="11" borderId="0" xfId="0" applyFont="1" applyFill="1" applyAlignment="1" applyProtection="1">
      <alignment vertical="center"/>
      <protection hidden="1"/>
    </xf>
    <xf numFmtId="0" fontId="39" fillId="11" borderId="0" xfId="0" applyFont="1" applyFill="1" applyAlignment="1" applyProtection="1">
      <alignment vertical="center"/>
      <protection hidden="1"/>
    </xf>
    <xf numFmtId="0" fontId="37" fillId="3" borderId="0" xfId="0" applyFont="1" applyFill="1" applyAlignment="1" applyProtection="1">
      <alignment vertical="center"/>
      <protection hidden="1"/>
    </xf>
    <xf numFmtId="0" fontId="38" fillId="5" borderId="0" xfId="0" applyFont="1" applyFill="1" applyAlignment="1" applyProtection="1">
      <alignment vertical="center"/>
      <protection hidden="1"/>
    </xf>
    <xf numFmtId="0" fontId="5" fillId="11" borderId="1" xfId="0" applyFont="1" applyFill="1" applyBorder="1" applyAlignment="1" applyProtection="1">
      <alignment vertical="center"/>
      <protection hidden="1"/>
    </xf>
    <xf numFmtId="0" fontId="5" fillId="11" borderId="8" xfId="0" applyFont="1" applyFill="1" applyBorder="1" applyAlignment="1" applyProtection="1">
      <alignment vertical="center"/>
      <protection hidden="1"/>
    </xf>
    <xf numFmtId="0" fontId="5" fillId="11" borderId="9" xfId="0" applyFont="1" applyFill="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5" fillId="11" borderId="0" xfId="0" applyFont="1" applyFill="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11" borderId="0" xfId="0" applyNumberFormat="1" applyFont="1" applyFill="1" applyAlignment="1" applyProtection="1">
      <alignment horizontal="center" vertical="center"/>
      <protection hidden="1"/>
    </xf>
    <xf numFmtId="49" fontId="5" fillId="11" borderId="0" xfId="0" applyNumberFormat="1" applyFont="1" applyFill="1" applyAlignment="1" applyProtection="1">
      <alignment vertical="center"/>
      <protection hidden="1"/>
    </xf>
    <xf numFmtId="0" fontId="5" fillId="0" borderId="15" xfId="0" applyFont="1" applyBorder="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7"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18" fillId="0" borderId="0" xfId="0" applyFont="1" applyAlignment="1" applyProtection="1">
      <alignment vertical="center"/>
      <protection hidden="1"/>
    </xf>
    <xf numFmtId="0" fontId="5" fillId="11" borderId="1"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center" vertical="center"/>
      <protection hidden="1"/>
    </xf>
    <xf numFmtId="0" fontId="5" fillId="0" borderId="50" xfId="0" applyFont="1" applyBorder="1" applyAlignment="1" applyProtection="1">
      <alignment vertical="center"/>
      <protection hidden="1"/>
    </xf>
    <xf numFmtId="0" fontId="5" fillId="0" borderId="5" xfId="0" applyFont="1" applyBorder="1" applyAlignment="1" applyProtection="1">
      <alignment vertical="center"/>
      <protection hidden="1"/>
    </xf>
    <xf numFmtId="177" fontId="5" fillId="11" borderId="8" xfId="0" applyNumberFormat="1" applyFont="1" applyFill="1" applyBorder="1" applyAlignment="1" applyProtection="1">
      <alignment vertical="center" shrinkToFit="1"/>
      <protection hidden="1"/>
    </xf>
    <xf numFmtId="180" fontId="5" fillId="11" borderId="8" xfId="0" applyNumberFormat="1" applyFont="1" applyFill="1" applyBorder="1" applyAlignment="1" applyProtection="1">
      <alignment vertical="center"/>
      <protection hidden="1"/>
    </xf>
    <xf numFmtId="0" fontId="5" fillId="0" borderId="15" xfId="0" applyFont="1" applyBorder="1" applyAlignment="1" applyProtection="1">
      <alignment vertical="center"/>
      <protection hidden="1"/>
    </xf>
    <xf numFmtId="0" fontId="5" fillId="11" borderId="1" xfId="0" applyFont="1" applyFill="1" applyBorder="1" applyAlignment="1" applyProtection="1">
      <alignment vertical="center" shrinkToFit="1"/>
      <protection hidden="1"/>
    </xf>
    <xf numFmtId="38" fontId="5" fillId="11" borderId="1" xfId="2" applyFont="1" applyFill="1" applyBorder="1" applyAlignment="1" applyProtection="1">
      <alignment horizontal="center" vertical="center" shrinkToFit="1"/>
      <protection hidden="1"/>
    </xf>
    <xf numFmtId="183" fontId="5" fillId="11" borderId="8" xfId="0" applyNumberFormat="1" applyFont="1" applyFill="1" applyBorder="1" applyAlignment="1" applyProtection="1">
      <alignment vertical="center"/>
      <protection hidden="1"/>
    </xf>
    <xf numFmtId="181" fontId="5" fillId="11" borderId="8" xfId="0" applyNumberFormat="1" applyFont="1" applyFill="1" applyBorder="1" applyAlignment="1" applyProtection="1">
      <alignment vertical="center"/>
      <protection hidden="1"/>
    </xf>
    <xf numFmtId="0" fontId="5" fillId="0" borderId="9" xfId="0" applyFont="1" applyBorder="1" applyAlignment="1" applyProtection="1">
      <alignment vertical="center" shrinkToFit="1"/>
      <protection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shrinkToFit="1"/>
      <protection hidden="1"/>
    </xf>
    <xf numFmtId="0" fontId="5" fillId="0" borderId="10" xfId="0" applyFont="1" applyBorder="1" applyAlignment="1" applyProtection="1">
      <alignment horizontal="center" vertical="center"/>
      <protection hidden="1"/>
    </xf>
    <xf numFmtId="38" fontId="5" fillId="0" borderId="1" xfId="2" applyFont="1" applyBorder="1" applyAlignment="1" applyProtection="1">
      <alignment horizontal="center" vertical="center" shrinkToFit="1"/>
      <protection hidden="1"/>
    </xf>
    <xf numFmtId="38" fontId="5" fillId="0" borderId="10" xfId="2" applyFont="1" applyBorder="1" applyAlignment="1" applyProtection="1">
      <alignment horizontal="center" vertical="center" shrinkToFit="1"/>
      <protection hidden="1"/>
    </xf>
    <xf numFmtId="0" fontId="5" fillId="0" borderId="1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10" fillId="11" borderId="0" xfId="0" applyFont="1" applyFill="1" applyAlignment="1" applyProtection="1">
      <alignment vertical="center"/>
      <protection hidden="1"/>
    </xf>
    <xf numFmtId="0" fontId="11" fillId="11" borderId="0" xfId="0" applyFont="1" applyFill="1" applyAlignment="1" applyProtection="1">
      <alignment vertical="center"/>
      <protection hidden="1"/>
    </xf>
    <xf numFmtId="0" fontId="34" fillId="10" borderId="1" xfId="0" applyFont="1" applyFill="1" applyBorder="1" applyAlignment="1" applyProtection="1">
      <alignment horizontal="center" vertical="center"/>
      <protection hidden="1"/>
    </xf>
    <xf numFmtId="0" fontId="18" fillId="0" borderId="9" xfId="0" applyFont="1" applyBorder="1" applyAlignment="1" applyProtection="1">
      <alignment vertical="center"/>
      <protection hidden="1"/>
    </xf>
    <xf numFmtId="0" fontId="18" fillId="0" borderId="50" xfId="0" applyFont="1" applyBorder="1" applyAlignment="1" applyProtection="1">
      <alignment vertical="center"/>
      <protection hidden="1"/>
    </xf>
    <xf numFmtId="0" fontId="5" fillId="0" borderId="50"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7" xfId="0" applyFont="1" applyBorder="1" applyAlignment="1" applyProtection="1">
      <alignment vertical="center"/>
      <protection hidden="1"/>
    </xf>
    <xf numFmtId="0" fontId="5" fillId="0" borderId="17" xfId="0" applyFont="1" applyBorder="1" applyAlignment="1" applyProtection="1">
      <alignment horizontal="left" vertical="center"/>
      <protection hidden="1"/>
    </xf>
    <xf numFmtId="0" fontId="5" fillId="11" borderId="15" xfId="0" applyFont="1" applyFill="1" applyBorder="1" applyAlignment="1" applyProtection="1">
      <alignment horizontal="left" vertical="center"/>
      <protection hidden="1"/>
    </xf>
    <xf numFmtId="0" fontId="5" fillId="11" borderId="15" xfId="0" applyFont="1" applyFill="1" applyBorder="1" applyAlignment="1" applyProtection="1">
      <alignment vertical="center"/>
      <protection hidden="1"/>
    </xf>
    <xf numFmtId="0" fontId="32" fillId="11" borderId="0" xfId="0" applyFont="1" applyFill="1" applyAlignment="1" applyProtection="1">
      <alignment vertical="center"/>
      <protection hidden="1"/>
    </xf>
    <xf numFmtId="9" fontId="5" fillId="11" borderId="1" xfId="8" applyFont="1" applyFill="1" applyBorder="1" applyAlignment="1" applyProtection="1">
      <alignment horizontal="center" vertical="center"/>
      <protection hidden="1"/>
    </xf>
    <xf numFmtId="0" fontId="5" fillId="12" borderId="0" xfId="0" applyFont="1" applyFill="1" applyAlignment="1" applyProtection="1">
      <alignment vertical="center"/>
      <protection hidden="1"/>
    </xf>
    <xf numFmtId="0" fontId="9" fillId="12" borderId="0" xfId="0" applyFont="1" applyFill="1" applyAlignment="1" applyProtection="1">
      <alignment horizontal="right" vertical="center"/>
      <protection hidden="1"/>
    </xf>
    <xf numFmtId="0" fontId="37" fillId="12" borderId="0" xfId="0" applyFont="1" applyFill="1" applyAlignment="1" applyProtection="1">
      <alignment vertical="center"/>
      <protection hidden="1"/>
    </xf>
    <xf numFmtId="177" fontId="5" fillId="11" borderId="0" xfId="0" applyNumberFormat="1" applyFont="1" applyFill="1" applyAlignment="1" applyProtection="1">
      <alignment vertical="center" shrinkToFit="1"/>
      <protection hidden="1"/>
    </xf>
    <xf numFmtId="180" fontId="5" fillId="11" borderId="0" xfId="0" applyNumberFormat="1" applyFont="1" applyFill="1" applyAlignment="1" applyProtection="1">
      <alignment vertical="center"/>
      <protection hidden="1"/>
    </xf>
    <xf numFmtId="177" fontId="11" fillId="11" borderId="1" xfId="0" applyNumberFormat="1" applyFont="1" applyFill="1" applyBorder="1" applyAlignment="1" applyProtection="1">
      <alignment vertical="center" shrinkToFit="1"/>
      <protection hidden="1"/>
    </xf>
    <xf numFmtId="177" fontId="11" fillId="11" borderId="8" xfId="0" applyNumberFormat="1" applyFont="1" applyFill="1" applyBorder="1" applyAlignment="1" applyProtection="1">
      <alignment vertical="center"/>
      <protection hidden="1"/>
    </xf>
    <xf numFmtId="180" fontId="11" fillId="11" borderId="9" xfId="0" applyNumberFormat="1" applyFont="1" applyFill="1" applyBorder="1" applyAlignment="1" applyProtection="1">
      <alignment vertical="center"/>
      <protection hidden="1"/>
    </xf>
    <xf numFmtId="38" fontId="5" fillId="0" borderId="0" xfId="2" applyFont="1" applyFill="1" applyBorder="1" applyAlignment="1" applyProtection="1">
      <alignment horizontal="right" vertical="center"/>
      <protection hidden="1"/>
    </xf>
    <xf numFmtId="0" fontId="5" fillId="13" borderId="0" xfId="0" applyFont="1" applyFill="1" applyAlignment="1" applyProtection="1">
      <alignment vertical="center"/>
      <protection hidden="1"/>
    </xf>
    <xf numFmtId="0" fontId="9" fillId="13" borderId="0" xfId="0" applyFont="1" applyFill="1" applyAlignment="1" applyProtection="1">
      <alignment horizontal="right" vertical="center"/>
      <protection hidden="1"/>
    </xf>
    <xf numFmtId="0" fontId="37" fillId="13" borderId="0" xfId="0" applyFont="1" applyFill="1" applyAlignment="1" applyProtection="1">
      <alignment vertical="center"/>
      <protection hidden="1"/>
    </xf>
    <xf numFmtId="0" fontId="7" fillId="10" borderId="1" xfId="0" applyFont="1" applyFill="1" applyBorder="1" applyAlignment="1" applyProtection="1">
      <alignment horizontal="center" vertical="center"/>
      <protection hidden="1"/>
    </xf>
    <xf numFmtId="0" fontId="5" fillId="14" borderId="0" xfId="0" applyFont="1" applyFill="1" applyAlignment="1" applyProtection="1">
      <alignment vertical="center"/>
      <protection hidden="1"/>
    </xf>
    <xf numFmtId="0" fontId="9" fillId="14" borderId="0" xfId="0" applyFont="1" applyFill="1" applyAlignment="1" applyProtection="1">
      <alignment horizontal="right" vertical="center"/>
      <protection hidden="1"/>
    </xf>
    <xf numFmtId="0" fontId="37" fillId="14" borderId="0" xfId="0" applyFont="1" applyFill="1" applyAlignment="1" applyProtection="1">
      <alignment vertical="center"/>
      <protection hidden="1"/>
    </xf>
    <xf numFmtId="0" fontId="5" fillId="11" borderId="0" xfId="0" applyFont="1" applyFill="1" applyAlignment="1">
      <alignment horizontal="center" vertical="center"/>
    </xf>
    <xf numFmtId="10" fontId="11" fillId="11" borderId="1" xfId="0" applyNumberFormat="1"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184" fontId="5" fillId="19" borderId="8" xfId="0" applyNumberFormat="1" applyFont="1" applyFill="1" applyBorder="1" applyAlignment="1" applyProtection="1">
      <alignment vertical="center"/>
      <protection hidden="1"/>
    </xf>
    <xf numFmtId="0" fontId="50" fillId="0" borderId="0" xfId="0" applyFont="1" applyAlignment="1" applyProtection="1">
      <alignment vertical="center"/>
      <protection hidden="1"/>
    </xf>
    <xf numFmtId="186" fontId="5" fillId="2" borderId="15" xfId="0" applyNumberFormat="1" applyFont="1" applyFill="1" applyBorder="1" applyAlignment="1" applyProtection="1">
      <alignment horizontal="center" vertical="center"/>
      <protection locked="0" hidden="1"/>
    </xf>
    <xf numFmtId="187" fontId="5" fillId="2" borderId="9" xfId="0" applyNumberFormat="1" applyFont="1" applyFill="1" applyBorder="1" applyAlignment="1" applyProtection="1">
      <alignment horizontal="center" vertical="center"/>
      <protection locked="0" hidden="1"/>
    </xf>
    <xf numFmtId="0" fontId="5"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5" fillId="0" borderId="17" xfId="0" applyFont="1" applyBorder="1" applyAlignment="1" applyProtection="1">
      <alignment horizontal="center" vertical="center"/>
      <protection hidden="1"/>
    </xf>
    <xf numFmtId="186" fontId="5" fillId="2" borderId="17" xfId="0" applyNumberFormat="1" applyFont="1" applyFill="1" applyBorder="1" applyAlignment="1" applyProtection="1">
      <alignment horizontal="center" vertical="center"/>
      <protection locked="0" hidden="1"/>
    </xf>
    <xf numFmtId="187" fontId="5" fillId="2" borderId="7" xfId="0" applyNumberFormat="1" applyFont="1" applyFill="1" applyBorder="1" applyAlignment="1" applyProtection="1">
      <alignment horizontal="center" vertical="center"/>
      <protection locked="0" hidden="1"/>
    </xf>
    <xf numFmtId="190" fontId="5" fillId="0" borderId="8" xfId="2" applyNumberFormat="1" applyFont="1" applyBorder="1" applyAlignment="1" applyProtection="1">
      <alignment vertical="center" shrinkToFit="1"/>
      <protection hidden="1"/>
    </xf>
    <xf numFmtId="190" fontId="5" fillId="0" borderId="12" xfId="2" applyNumberFormat="1" applyFont="1" applyBorder="1" applyAlignment="1" applyProtection="1">
      <alignment vertical="center" shrinkToFit="1"/>
      <protection hidden="1"/>
    </xf>
    <xf numFmtId="0" fontId="5" fillId="0" borderId="8" xfId="0" applyFont="1" applyBorder="1" applyAlignment="1">
      <alignment vertical="center"/>
    </xf>
    <xf numFmtId="0" fontId="5" fillId="18" borderId="1" xfId="0" applyFont="1" applyFill="1" applyBorder="1" applyAlignment="1" applyProtection="1">
      <alignment horizontal="center" vertical="center" shrinkToFit="1"/>
      <protection hidden="1"/>
    </xf>
    <xf numFmtId="185" fontId="6" fillId="24" borderId="6" xfId="2" applyNumberFormat="1" applyFont="1" applyFill="1" applyBorder="1" applyAlignment="1" applyProtection="1">
      <alignment vertical="center" shrinkToFit="1"/>
      <protection hidden="1"/>
    </xf>
    <xf numFmtId="0" fontId="6" fillId="24" borderId="7" xfId="0" applyFont="1" applyFill="1" applyBorder="1" applyAlignment="1" applyProtection="1">
      <alignment vertical="center"/>
      <protection hidden="1"/>
    </xf>
    <xf numFmtId="185" fontId="50" fillId="24" borderId="6" xfId="2" applyNumberFormat="1" applyFont="1" applyFill="1" applyBorder="1" applyAlignment="1" applyProtection="1">
      <alignment vertical="center" shrinkToFit="1"/>
      <protection hidden="1"/>
    </xf>
    <xf numFmtId="0" fontId="50" fillId="24" borderId="7" xfId="0" applyFont="1" applyFill="1" applyBorder="1" applyAlignment="1" applyProtection="1">
      <alignment vertical="center"/>
      <protection hidden="1"/>
    </xf>
    <xf numFmtId="0" fontId="6" fillId="25" borderId="7" xfId="0" applyFont="1" applyFill="1" applyBorder="1" applyAlignment="1" applyProtection="1">
      <alignment horizontal="center" vertical="center"/>
      <protection hidden="1"/>
    </xf>
    <xf numFmtId="0" fontId="6" fillId="25" borderId="7" xfId="0" applyFont="1" applyFill="1" applyBorder="1" applyAlignment="1" applyProtection="1">
      <alignment vertical="center"/>
      <protection hidden="1"/>
    </xf>
    <xf numFmtId="0" fontId="50" fillId="25" borderId="7" xfId="0" applyFont="1" applyFill="1" applyBorder="1" applyAlignment="1" applyProtection="1">
      <alignment horizontal="center" vertical="center"/>
      <protection hidden="1"/>
    </xf>
    <xf numFmtId="0" fontId="50" fillId="25" borderId="7" xfId="0" applyFont="1" applyFill="1" applyBorder="1" applyAlignment="1" applyProtection="1">
      <alignment vertical="center"/>
      <protection hidden="1"/>
    </xf>
    <xf numFmtId="0" fontId="5" fillId="2" borderId="12" xfId="0" applyFont="1" applyFill="1" applyBorder="1" applyAlignment="1">
      <alignment vertical="center"/>
    </xf>
    <xf numFmtId="0" fontId="5" fillId="2" borderId="12" xfId="0" applyFont="1" applyFill="1" applyBorder="1" applyAlignment="1" applyProtection="1">
      <alignment vertical="center"/>
      <protection hidden="1"/>
    </xf>
    <xf numFmtId="177" fontId="5" fillId="11" borderId="15" xfId="0" applyNumberFormat="1" applyFont="1" applyFill="1" applyBorder="1" applyAlignment="1" applyProtection="1">
      <alignment vertical="center" shrinkToFit="1"/>
      <protection hidden="1"/>
    </xf>
    <xf numFmtId="180" fontId="5" fillId="11" borderId="15" xfId="0" applyNumberFormat="1" applyFont="1" applyFill="1" applyBorder="1" applyAlignment="1" applyProtection="1">
      <alignment vertical="center"/>
      <protection hidden="1"/>
    </xf>
    <xf numFmtId="184" fontId="5" fillId="19" borderId="15" xfId="0" applyNumberFormat="1" applyFont="1" applyFill="1" applyBorder="1" applyAlignment="1" applyProtection="1">
      <alignment vertical="center"/>
      <protection hidden="1"/>
    </xf>
    <xf numFmtId="38" fontId="5" fillId="0" borderId="1" xfId="2" applyFont="1" applyBorder="1" applyAlignment="1" applyProtection="1">
      <alignment horizontal="center" vertical="center"/>
      <protection hidden="1"/>
    </xf>
    <xf numFmtId="38" fontId="5" fillId="0" borderId="10" xfId="2" applyFont="1" applyBorder="1" applyAlignment="1" applyProtection="1">
      <alignment horizontal="center" vertical="center"/>
      <protection hidden="1"/>
    </xf>
    <xf numFmtId="191" fontId="5" fillId="0" borderId="8" xfId="2" applyNumberFormat="1" applyFont="1" applyBorder="1" applyAlignment="1" applyProtection="1">
      <alignment vertical="center" shrinkToFit="1"/>
      <protection hidden="1"/>
    </xf>
    <xf numFmtId="191" fontId="5" fillId="0" borderId="8" xfId="2" applyNumberFormat="1" applyFont="1" applyBorder="1" applyAlignment="1" applyProtection="1">
      <alignment vertical="center"/>
      <protection hidden="1"/>
    </xf>
    <xf numFmtId="191" fontId="5" fillId="0" borderId="12" xfId="2" applyNumberFormat="1" applyFont="1" applyBorder="1" applyAlignment="1" applyProtection="1">
      <alignment vertical="center" shrinkToFit="1"/>
      <protection hidden="1"/>
    </xf>
    <xf numFmtId="192" fontId="6" fillId="25" borderId="6" xfId="2" applyNumberFormat="1" applyFont="1" applyFill="1" applyBorder="1" applyAlignment="1" applyProtection="1">
      <alignment vertical="center"/>
      <protection hidden="1"/>
    </xf>
    <xf numFmtId="192" fontId="50" fillId="25" borderId="6" xfId="2" applyNumberFormat="1" applyFont="1" applyFill="1" applyBorder="1" applyAlignment="1" applyProtection="1">
      <alignment vertical="center"/>
      <protection hidden="1"/>
    </xf>
    <xf numFmtId="0" fontId="5" fillId="0" borderId="7" xfId="0" applyFont="1" applyBorder="1" applyAlignment="1" applyProtection="1">
      <alignment vertical="center" shrinkToFit="1"/>
      <protection hidden="1"/>
    </xf>
    <xf numFmtId="0" fontId="5" fillId="24" borderId="11" xfId="0" applyFont="1" applyFill="1" applyBorder="1" applyAlignment="1" applyProtection="1">
      <alignment horizontal="center" vertical="center"/>
      <protection hidden="1"/>
    </xf>
    <xf numFmtId="38" fontId="5" fillId="24" borderId="11" xfId="0" applyNumberFormat="1" applyFont="1" applyFill="1" applyBorder="1" applyAlignment="1" applyProtection="1">
      <alignment horizontal="center" vertical="center" shrinkToFit="1"/>
      <protection hidden="1"/>
    </xf>
    <xf numFmtId="0" fontId="6" fillId="24" borderId="7" xfId="0" applyFont="1" applyFill="1" applyBorder="1" applyAlignment="1" applyProtection="1">
      <alignment horizontal="center" vertical="center"/>
      <protection hidden="1"/>
    </xf>
    <xf numFmtId="0" fontId="50" fillId="24" borderId="7" xfId="0" applyFont="1" applyFill="1" applyBorder="1" applyAlignment="1" applyProtection="1">
      <alignment horizontal="center" vertical="center"/>
      <protection hidden="1"/>
    </xf>
    <xf numFmtId="0" fontId="5" fillId="25" borderId="11" xfId="0" applyFont="1" applyFill="1" applyBorder="1" applyAlignment="1" applyProtection="1">
      <alignment horizontal="center" vertical="center"/>
      <protection hidden="1"/>
    </xf>
    <xf numFmtId="38" fontId="5" fillId="25" borderId="11" xfId="0" applyNumberFormat="1" applyFont="1" applyFill="1" applyBorder="1" applyAlignment="1" applyProtection="1">
      <alignment horizontal="center" vertical="center" shrinkToFit="1"/>
      <protection hidden="1"/>
    </xf>
    <xf numFmtId="38" fontId="5" fillId="2" borderId="1" xfId="2" applyFont="1" applyFill="1" applyBorder="1" applyAlignment="1" applyProtection="1">
      <alignment horizontal="center" vertical="center"/>
      <protection locked="0"/>
    </xf>
    <xf numFmtId="38" fontId="5" fillId="2" borderId="10" xfId="2" applyFont="1" applyFill="1" applyBorder="1" applyAlignment="1" applyProtection="1">
      <alignment horizontal="center" vertical="center"/>
      <protection locked="0"/>
    </xf>
    <xf numFmtId="0" fontId="5" fillId="24" borderId="17" xfId="0" applyFont="1" applyFill="1" applyBorder="1" applyAlignment="1" applyProtection="1">
      <alignment vertical="center"/>
      <protection hidden="1"/>
    </xf>
    <xf numFmtId="0" fontId="5" fillId="25" borderId="52" xfId="0" applyFont="1" applyFill="1" applyBorder="1" applyAlignment="1" applyProtection="1">
      <alignment vertical="center"/>
      <protection hidden="1"/>
    </xf>
    <xf numFmtId="0" fontId="59" fillId="0" borderId="4" xfId="0" applyFont="1" applyBorder="1" applyAlignment="1" applyProtection="1">
      <alignment vertical="center"/>
      <protection hidden="1"/>
    </xf>
    <xf numFmtId="0" fontId="7" fillId="0" borderId="5" xfId="0" applyFont="1" applyBorder="1" applyAlignment="1" applyProtection="1">
      <alignment horizontal="right" vertical="center"/>
      <protection hidden="1"/>
    </xf>
    <xf numFmtId="0" fontId="60" fillId="0" borderId="5" xfId="0" applyFont="1" applyBorder="1" applyAlignment="1" applyProtection="1">
      <alignment horizontal="right" vertical="center"/>
      <protection hidden="1"/>
    </xf>
    <xf numFmtId="0" fontId="61" fillId="0" borderId="0" xfId="0" applyFont="1" applyAlignment="1" applyProtection="1">
      <alignment vertical="center"/>
      <protection hidden="1"/>
    </xf>
    <xf numFmtId="190" fontId="62" fillId="19" borderId="8" xfId="2" applyNumberFormat="1" applyFont="1" applyFill="1" applyBorder="1" applyAlignment="1" applyProtection="1">
      <alignment vertical="center" shrinkToFit="1"/>
      <protection hidden="1"/>
    </xf>
    <xf numFmtId="0" fontId="62" fillId="19" borderId="9" xfId="0" applyFont="1" applyFill="1" applyBorder="1" applyAlignment="1" applyProtection="1">
      <alignment vertical="center"/>
      <protection hidden="1"/>
    </xf>
    <xf numFmtId="193" fontId="5" fillId="2" borderId="1" xfId="2" applyNumberFormat="1" applyFont="1" applyFill="1" applyBorder="1" applyAlignment="1" applyProtection="1">
      <alignment horizontal="center" vertical="center"/>
      <protection locked="0"/>
    </xf>
    <xf numFmtId="193" fontId="5" fillId="2" borderId="1" xfId="2" applyNumberFormat="1" applyFont="1" applyFill="1" applyBorder="1" applyAlignment="1" applyProtection="1">
      <alignment horizontal="center" vertical="center"/>
      <protection locked="0" hidden="1"/>
    </xf>
    <xf numFmtId="193" fontId="5" fillId="2" borderId="10" xfId="2" applyNumberFormat="1" applyFont="1" applyFill="1" applyBorder="1" applyAlignment="1" applyProtection="1">
      <alignment horizontal="center" vertical="center"/>
      <protection locked="0" hidden="1"/>
    </xf>
    <xf numFmtId="193" fontId="6" fillId="0" borderId="11" xfId="0" applyNumberFormat="1" applyFont="1" applyBorder="1" applyAlignment="1" applyProtection="1">
      <alignment horizontal="center" vertical="center"/>
      <protection hidden="1"/>
    </xf>
    <xf numFmtId="193" fontId="50" fillId="0" borderId="11" xfId="0" applyNumberFormat="1" applyFont="1" applyBorder="1" applyAlignment="1" applyProtection="1">
      <alignment horizontal="center" vertical="center"/>
      <protection hidden="1"/>
    </xf>
    <xf numFmtId="0" fontId="5" fillId="19" borderId="0" xfId="0" applyFont="1" applyFill="1" applyAlignment="1" applyProtection="1">
      <alignment vertical="center"/>
      <protection hidden="1"/>
    </xf>
    <xf numFmtId="0" fontId="13" fillId="5" borderId="0" xfId="10" applyFont="1" applyFill="1" applyProtection="1">
      <alignment vertical="center"/>
      <protection hidden="1"/>
    </xf>
    <xf numFmtId="0" fontId="7" fillId="5" borderId="0" xfId="10" applyFont="1" applyFill="1" applyProtection="1">
      <alignment vertical="center"/>
      <protection hidden="1"/>
    </xf>
    <xf numFmtId="0" fontId="13" fillId="11" borderId="0" xfId="10" applyFont="1" applyFill="1" applyProtection="1">
      <alignment vertical="center"/>
      <protection hidden="1"/>
    </xf>
    <xf numFmtId="0" fontId="13" fillId="0" borderId="0" xfId="10" applyFont="1" applyProtection="1">
      <alignment vertical="center"/>
      <protection hidden="1"/>
    </xf>
    <xf numFmtId="0" fontId="18" fillId="0" borderId="0" xfId="10" applyFont="1" applyProtection="1">
      <alignment vertical="center"/>
      <protection hidden="1"/>
    </xf>
    <xf numFmtId="0" fontId="13" fillId="18" borderId="1" xfId="10" applyFont="1" applyFill="1" applyBorder="1" applyAlignment="1" applyProtection="1">
      <alignment horizontal="center" vertical="center" wrapText="1"/>
      <protection hidden="1"/>
    </xf>
    <xf numFmtId="0" fontId="13" fillId="18" borderId="1" xfId="10" applyFont="1" applyFill="1" applyBorder="1" applyAlignment="1" applyProtection="1">
      <alignment horizontal="center" vertical="center"/>
      <protection hidden="1"/>
    </xf>
    <xf numFmtId="0" fontId="13" fillId="0" borderId="1" xfId="10" applyFont="1" applyBorder="1" applyAlignment="1" applyProtection="1">
      <alignment horizontal="center" vertical="center"/>
      <protection hidden="1"/>
    </xf>
    <xf numFmtId="0" fontId="13" fillId="0" borderId="0" xfId="10" applyFont="1" applyAlignment="1" applyProtection="1">
      <alignment horizontal="right" vertical="center"/>
      <protection hidden="1"/>
    </xf>
    <xf numFmtId="0" fontId="13" fillId="18" borderId="10" xfId="10" applyFont="1" applyFill="1" applyBorder="1" applyAlignment="1" applyProtection="1">
      <alignment horizontal="center" vertical="center" wrapText="1"/>
      <protection hidden="1"/>
    </xf>
    <xf numFmtId="1" fontId="13" fillId="0" borderId="0" xfId="10" applyNumberFormat="1" applyFont="1" applyProtection="1">
      <alignment vertical="center"/>
      <protection hidden="1"/>
    </xf>
    <xf numFmtId="0" fontId="13" fillId="11" borderId="0" xfId="10" applyFont="1" applyFill="1" applyAlignment="1" applyProtection="1">
      <alignment horizontal="right" vertical="center"/>
      <protection hidden="1"/>
    </xf>
    <xf numFmtId="0" fontId="13" fillId="18" borderId="11" xfId="10" applyFont="1" applyFill="1" applyBorder="1" applyAlignment="1" applyProtection="1">
      <alignment horizontal="center" vertical="center"/>
      <protection hidden="1"/>
    </xf>
    <xf numFmtId="0" fontId="18" fillId="0" borderId="0" xfId="10" applyFont="1" applyAlignment="1" applyProtection="1">
      <alignment horizontal="center" vertical="center"/>
      <protection hidden="1"/>
    </xf>
    <xf numFmtId="0" fontId="47" fillId="0" borderId="57" xfId="10" applyFont="1" applyBorder="1" applyAlignment="1" applyProtection="1">
      <alignment horizontal="center" vertical="center"/>
      <protection hidden="1"/>
    </xf>
    <xf numFmtId="0" fontId="47" fillId="9" borderId="58" xfId="10" applyFont="1" applyFill="1" applyBorder="1" applyAlignment="1" applyProtection="1">
      <alignment horizontal="center" vertical="center"/>
      <protection hidden="1"/>
    </xf>
    <xf numFmtId="0" fontId="49" fillId="19" borderId="0" xfId="10" applyFont="1" applyFill="1" applyProtection="1">
      <alignment vertical="center"/>
      <protection hidden="1"/>
    </xf>
    <xf numFmtId="0" fontId="63" fillId="19" borderId="0" xfId="10" applyFont="1" applyFill="1" applyProtection="1">
      <alignment vertical="center"/>
      <protection hidden="1"/>
    </xf>
    <xf numFmtId="0" fontId="13" fillId="11" borderId="2" xfId="10" applyFont="1" applyFill="1" applyBorder="1" applyProtection="1">
      <alignment vertical="center"/>
      <protection hidden="1"/>
    </xf>
    <xf numFmtId="0" fontId="64" fillId="19" borderId="50" xfId="10" applyFont="1" applyFill="1" applyBorder="1" applyProtection="1">
      <alignment vertical="center"/>
      <protection hidden="1"/>
    </xf>
    <xf numFmtId="0" fontId="63" fillId="19" borderId="50" xfId="10" applyFont="1" applyFill="1" applyBorder="1" applyProtection="1">
      <alignment vertical="center"/>
      <protection hidden="1"/>
    </xf>
    <xf numFmtId="0" fontId="13" fillId="11" borderId="3" xfId="10" applyFont="1" applyFill="1" applyBorder="1" applyProtection="1">
      <alignment vertical="center"/>
      <protection hidden="1"/>
    </xf>
    <xf numFmtId="0" fontId="13" fillId="11" borderId="4" xfId="10" applyFont="1" applyFill="1" applyBorder="1" applyProtection="1">
      <alignment vertical="center"/>
      <protection hidden="1"/>
    </xf>
    <xf numFmtId="0" fontId="11" fillId="11" borderId="0" xfId="10" applyFont="1" applyFill="1" applyProtection="1">
      <alignment vertical="center"/>
      <protection hidden="1"/>
    </xf>
    <xf numFmtId="0" fontId="13" fillId="11" borderId="5" xfId="10" applyFont="1" applyFill="1" applyBorder="1" applyProtection="1">
      <alignment vertical="center"/>
      <protection hidden="1"/>
    </xf>
    <xf numFmtId="0" fontId="13" fillId="11" borderId="1" xfId="10" applyFont="1" applyFill="1" applyBorder="1" applyAlignment="1" applyProtection="1">
      <alignment horizontal="center" vertical="center"/>
      <protection hidden="1"/>
    </xf>
    <xf numFmtId="0" fontId="13" fillId="11" borderId="14" xfId="10" applyFont="1" applyFill="1" applyBorder="1" applyAlignment="1" applyProtection="1">
      <alignment horizontal="center" vertical="center"/>
      <protection hidden="1"/>
    </xf>
    <xf numFmtId="0" fontId="13" fillId="11" borderId="11" xfId="10" applyFont="1" applyFill="1" applyBorder="1" applyAlignment="1" applyProtection="1">
      <alignment vertical="center" shrinkToFit="1"/>
      <protection hidden="1"/>
    </xf>
    <xf numFmtId="0" fontId="13" fillId="11" borderId="11" xfId="10" applyFont="1" applyFill="1" applyBorder="1" applyProtection="1">
      <alignment vertical="center"/>
      <protection hidden="1"/>
    </xf>
    <xf numFmtId="0" fontId="13" fillId="11" borderId="1" xfId="10" applyFont="1" applyFill="1" applyBorder="1" applyProtection="1">
      <alignment vertical="center"/>
      <protection hidden="1"/>
    </xf>
    <xf numFmtId="181" fontId="13" fillId="11" borderId="1" xfId="10" applyNumberFormat="1" applyFont="1" applyFill="1" applyBorder="1" applyAlignment="1" applyProtection="1">
      <alignment horizontal="center" vertical="center"/>
      <protection hidden="1"/>
    </xf>
    <xf numFmtId="9" fontId="13" fillId="11" borderId="1" xfId="8" applyFont="1" applyFill="1" applyBorder="1" applyAlignment="1" applyProtection="1">
      <alignment horizontal="center" vertical="center"/>
      <protection hidden="1"/>
    </xf>
    <xf numFmtId="10" fontId="13" fillId="11" borderId="1" xfId="8" applyNumberFormat="1" applyFont="1" applyFill="1" applyBorder="1" applyAlignment="1" applyProtection="1">
      <alignment horizontal="center" vertical="center"/>
      <protection hidden="1"/>
    </xf>
    <xf numFmtId="0" fontId="13" fillId="11" borderId="1" xfId="10" applyFont="1" applyFill="1" applyBorder="1" applyAlignment="1" applyProtection="1">
      <alignment horizontal="center" vertical="center" wrapText="1"/>
      <protection hidden="1"/>
    </xf>
    <xf numFmtId="0" fontId="13" fillId="11" borderId="14" xfId="10" applyFont="1" applyFill="1" applyBorder="1" applyAlignment="1" applyProtection="1">
      <alignment horizontal="center" vertical="top"/>
      <protection hidden="1"/>
    </xf>
    <xf numFmtId="0" fontId="13" fillId="11" borderId="14" xfId="10" applyFont="1" applyFill="1" applyBorder="1" applyAlignment="1" applyProtection="1">
      <alignment horizontal="center" vertical="center" wrapText="1"/>
      <protection hidden="1"/>
    </xf>
    <xf numFmtId="0" fontId="13" fillId="11" borderId="16" xfId="10" applyFont="1" applyFill="1" applyBorder="1" applyAlignment="1" applyProtection="1">
      <alignment horizontal="center" vertical="center" wrapText="1"/>
      <protection hidden="1"/>
    </xf>
    <xf numFmtId="0" fontId="13" fillId="11" borderId="16" xfId="10" applyFont="1" applyFill="1" applyBorder="1" applyAlignment="1" applyProtection="1">
      <alignment horizontal="center" vertical="top"/>
      <protection hidden="1"/>
    </xf>
    <xf numFmtId="0" fontId="13" fillId="11" borderId="11" xfId="10" applyFont="1" applyFill="1" applyBorder="1" applyAlignment="1" applyProtection="1">
      <alignment horizontal="center" vertical="center" shrinkToFit="1"/>
      <protection hidden="1"/>
    </xf>
    <xf numFmtId="0" fontId="13" fillId="11" borderId="16" xfId="10" applyFont="1" applyFill="1" applyBorder="1" applyAlignment="1" applyProtection="1">
      <alignment horizontal="center" vertical="center" shrinkToFit="1"/>
      <protection hidden="1"/>
    </xf>
    <xf numFmtId="185" fontId="13" fillId="11" borderId="1" xfId="2" applyNumberFormat="1" applyFont="1" applyFill="1" applyBorder="1" applyAlignment="1" applyProtection="1">
      <alignment horizontal="center" vertical="center"/>
      <protection hidden="1"/>
    </xf>
    <xf numFmtId="0" fontId="13" fillId="11" borderId="6" xfId="10" applyFont="1" applyFill="1" applyBorder="1" applyProtection="1">
      <alignment vertical="center"/>
      <protection hidden="1"/>
    </xf>
    <xf numFmtId="0" fontId="13" fillId="11" borderId="17" xfId="10" applyFont="1" applyFill="1" applyBorder="1" applyProtection="1">
      <alignment vertical="center"/>
      <protection hidden="1"/>
    </xf>
    <xf numFmtId="0" fontId="13" fillId="11" borderId="7" xfId="10" applyFont="1" applyFill="1" applyBorder="1" applyProtection="1">
      <alignment vertical="center"/>
      <protection hidden="1"/>
    </xf>
    <xf numFmtId="0" fontId="64" fillId="11" borderId="50" xfId="10" applyFont="1" applyFill="1" applyBorder="1" applyProtection="1">
      <alignment vertical="center"/>
      <protection hidden="1"/>
    </xf>
    <xf numFmtId="0" fontId="63" fillId="11" borderId="50" xfId="10" applyFont="1" applyFill="1" applyBorder="1" applyProtection="1">
      <alignment vertical="center"/>
      <protection hidden="1"/>
    </xf>
    <xf numFmtId="0" fontId="13" fillId="11" borderId="1" xfId="10" quotePrefix="1" applyFont="1" applyFill="1" applyBorder="1" applyAlignment="1" applyProtection="1">
      <alignment horizontal="center" vertical="center"/>
      <protection hidden="1"/>
    </xf>
    <xf numFmtId="0" fontId="13" fillId="11" borderId="15" xfId="10" applyFont="1" applyFill="1" applyBorder="1" applyProtection="1">
      <alignment vertical="center"/>
      <protection hidden="1"/>
    </xf>
    <xf numFmtId="190" fontId="13" fillId="11" borderId="1" xfId="2" applyNumberFormat="1" applyFont="1" applyFill="1" applyBorder="1" applyAlignment="1" applyProtection="1">
      <alignment horizontal="center" vertical="center"/>
      <protection hidden="1"/>
    </xf>
    <xf numFmtId="185" fontId="13" fillId="11" borderId="49" xfId="2" applyNumberFormat="1" applyFont="1" applyFill="1" applyBorder="1" applyAlignment="1" applyProtection="1">
      <alignment horizontal="center" vertical="center"/>
      <protection hidden="1"/>
    </xf>
    <xf numFmtId="194" fontId="13" fillId="0" borderId="1" xfId="10" applyNumberFormat="1" applyFont="1" applyBorder="1" applyAlignment="1" applyProtection="1">
      <alignment horizontal="center" vertical="center"/>
      <protection hidden="1"/>
    </xf>
    <xf numFmtId="194" fontId="13" fillId="0" borderId="10" xfId="10" applyNumberFormat="1" applyFont="1" applyBorder="1" applyAlignment="1" applyProtection="1">
      <alignment horizontal="center" vertical="center"/>
      <protection hidden="1"/>
    </xf>
    <xf numFmtId="194" fontId="13" fillId="0" borderId="11" xfId="10" applyNumberFormat="1" applyFont="1" applyBorder="1" applyAlignment="1" applyProtection="1">
      <alignment horizontal="center" vertical="center"/>
      <protection hidden="1"/>
    </xf>
    <xf numFmtId="0" fontId="11" fillId="0" borderId="0" xfId="0" applyFont="1" applyAlignment="1" applyProtection="1">
      <alignment vertical="center"/>
      <protection hidden="1"/>
    </xf>
    <xf numFmtId="0" fontId="5" fillId="0" borderId="11" xfId="0" applyFont="1" applyBorder="1" applyAlignment="1" applyProtection="1">
      <alignment vertical="center"/>
      <protection hidden="1"/>
    </xf>
    <xf numFmtId="0" fontId="5" fillId="0" borderId="16" xfId="0" applyFont="1" applyBorder="1" applyAlignment="1" applyProtection="1">
      <alignment vertical="center"/>
      <protection hidden="1"/>
    </xf>
    <xf numFmtId="0" fontId="5" fillId="0" borderId="8" xfId="0" applyFont="1" applyBorder="1" applyAlignment="1" applyProtection="1">
      <alignment horizontal="center" vertical="center"/>
      <protection hidden="1"/>
    </xf>
    <xf numFmtId="181" fontId="5" fillId="11" borderId="1" xfId="0" applyNumberFormat="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5" fillId="0" borderId="2" xfId="0" applyFont="1" applyBorder="1" applyAlignment="1" applyProtection="1">
      <alignment horizontal="right" vertical="center"/>
      <protection hidden="1"/>
    </xf>
    <xf numFmtId="0" fontId="11" fillId="2" borderId="15" xfId="0" applyFont="1" applyFill="1" applyBorder="1" applyAlignment="1" applyProtection="1">
      <alignment horizontal="center" vertical="center"/>
      <protection hidden="1"/>
    </xf>
    <xf numFmtId="0" fontId="11" fillId="2" borderId="15" xfId="0" applyFont="1" applyFill="1" applyBorder="1" applyAlignment="1" applyProtection="1">
      <alignment vertical="center"/>
      <protection hidden="1"/>
    </xf>
    <xf numFmtId="0" fontId="5" fillId="0" borderId="16"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11" fillId="2" borderId="8" xfId="0" applyFont="1" applyFill="1" applyBorder="1" applyAlignment="1" applyProtection="1">
      <alignment vertical="center"/>
      <protection hidden="1"/>
    </xf>
    <xf numFmtId="0" fontId="5" fillId="0" borderId="0" xfId="0" applyFont="1" applyProtection="1">
      <protection hidden="1"/>
    </xf>
    <xf numFmtId="0" fontId="35" fillId="0" borderId="0" xfId="9" applyProtection="1">
      <protection hidden="1"/>
    </xf>
    <xf numFmtId="0" fontId="57" fillId="0" borderId="0" xfId="0" applyFont="1" applyAlignment="1" applyProtection="1">
      <alignment vertical="center"/>
      <protection hidden="1"/>
    </xf>
    <xf numFmtId="0" fontId="47" fillId="20" borderId="1" xfId="0" applyFont="1" applyFill="1" applyBorder="1" applyAlignment="1" applyProtection="1">
      <alignment horizontal="center" vertical="center"/>
      <protection hidden="1"/>
    </xf>
    <xf numFmtId="0" fontId="47" fillId="0" borderId="0" xfId="0" applyFont="1" applyAlignment="1" applyProtection="1">
      <alignment vertical="center"/>
      <protection hidden="1"/>
    </xf>
    <xf numFmtId="0" fontId="47" fillId="21" borderId="1" xfId="0" applyFont="1" applyFill="1" applyBorder="1" applyAlignment="1" applyProtection="1">
      <alignment horizontal="center" vertical="center"/>
      <protection hidden="1"/>
    </xf>
    <xf numFmtId="0" fontId="47" fillId="5" borderId="1" xfId="0" applyFont="1" applyFill="1" applyBorder="1" applyAlignment="1" applyProtection="1">
      <alignment horizontal="center" vertical="center"/>
      <protection hidden="1"/>
    </xf>
    <xf numFmtId="0" fontId="47" fillId="22" borderId="1" xfId="0" applyFont="1" applyFill="1" applyBorder="1" applyAlignment="1" applyProtection="1">
      <alignment horizontal="center" vertical="center"/>
      <protection hidden="1"/>
    </xf>
    <xf numFmtId="0" fontId="47" fillId="20" borderId="1" xfId="0" applyFont="1" applyFill="1" applyBorder="1" applyAlignment="1" applyProtection="1">
      <alignment horizontal="center" vertical="center" wrapText="1"/>
      <protection hidden="1"/>
    </xf>
    <xf numFmtId="0" fontId="47" fillId="21" borderId="1" xfId="0" applyFont="1" applyFill="1" applyBorder="1" applyAlignment="1" applyProtection="1">
      <alignment horizontal="center" vertical="center" wrapText="1"/>
      <protection hidden="1"/>
    </xf>
    <xf numFmtId="0" fontId="47" fillId="5" borderId="1" xfId="0" applyFont="1" applyFill="1" applyBorder="1" applyAlignment="1" applyProtection="1">
      <alignment horizontal="center" vertical="center" wrapText="1"/>
      <protection hidden="1"/>
    </xf>
    <xf numFmtId="0" fontId="47" fillId="22" borderId="1" xfId="0" applyFont="1" applyFill="1" applyBorder="1" applyAlignment="1" applyProtection="1">
      <alignment horizontal="center" vertical="center" wrapText="1"/>
      <protection hidden="1"/>
    </xf>
    <xf numFmtId="0" fontId="47" fillId="0" borderId="0" xfId="0" applyFont="1" applyAlignment="1" applyProtection="1">
      <alignment horizontal="center" vertical="center"/>
      <protection hidden="1"/>
    </xf>
    <xf numFmtId="0" fontId="47" fillId="0" borderId="1" xfId="0" applyFont="1" applyBorder="1" applyAlignment="1" applyProtection="1">
      <alignment vertical="center" shrinkToFit="1"/>
      <protection hidden="1"/>
    </xf>
    <xf numFmtId="0" fontId="47" fillId="0" borderId="1" xfId="0" applyFont="1" applyBorder="1" applyAlignment="1" applyProtection="1">
      <alignment horizontal="center" vertical="center" shrinkToFit="1"/>
      <protection hidden="1"/>
    </xf>
    <xf numFmtId="49" fontId="47" fillId="0" borderId="1" xfId="0" applyNumberFormat="1" applyFont="1" applyBorder="1" applyAlignment="1" applyProtection="1">
      <alignment horizontal="center" vertical="center" shrinkToFit="1"/>
      <protection hidden="1"/>
    </xf>
    <xf numFmtId="177" fontId="47" fillId="0" borderId="1" xfId="0" applyNumberFormat="1" applyFont="1" applyBorder="1" applyAlignment="1" applyProtection="1">
      <alignment horizontal="center" vertical="center" shrinkToFit="1"/>
      <protection hidden="1"/>
    </xf>
    <xf numFmtId="10" fontId="47" fillId="0" borderId="1" xfId="8" applyNumberFormat="1" applyFont="1" applyBorder="1" applyAlignment="1" applyProtection="1">
      <alignment horizontal="center" vertical="center" shrinkToFit="1"/>
      <protection hidden="1"/>
    </xf>
    <xf numFmtId="0" fontId="47" fillId="0" borderId="0" xfId="0" applyFont="1" applyAlignment="1" applyProtection="1">
      <alignment vertical="center" shrinkToFit="1"/>
      <protection hidden="1"/>
    </xf>
    <xf numFmtId="0" fontId="5" fillId="0" borderId="1"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5" fillId="0" borderId="0" xfId="1" applyFont="1" applyProtection="1">
      <alignment vertical="center"/>
      <protection hidden="1"/>
    </xf>
    <xf numFmtId="49" fontId="5" fillId="0" borderId="1" xfId="1" applyNumberFormat="1" applyFont="1" applyBorder="1" applyAlignment="1" applyProtection="1">
      <alignment horizontal="left" vertical="center"/>
      <protection hidden="1"/>
    </xf>
    <xf numFmtId="0" fontId="5" fillId="0" borderId="1" xfId="1" applyFont="1" applyBorder="1" applyAlignment="1" applyProtection="1">
      <alignment vertical="center" shrinkToFit="1"/>
      <protection hidden="1"/>
    </xf>
    <xf numFmtId="49" fontId="5" fillId="0" borderId="1" xfId="1" applyNumberFormat="1" applyFont="1" applyBorder="1" applyProtection="1">
      <alignment vertical="center"/>
      <protection hidden="1"/>
    </xf>
    <xf numFmtId="0" fontId="5" fillId="0" borderId="1" xfId="1" applyFont="1" applyBorder="1" applyProtection="1">
      <alignment vertical="center"/>
      <protection hidden="1"/>
    </xf>
    <xf numFmtId="49" fontId="5" fillId="0" borderId="0" xfId="1" applyNumberFormat="1" applyFont="1" applyAlignment="1" applyProtection="1">
      <alignment horizontal="left" vertical="center"/>
      <protection hidden="1"/>
    </xf>
    <xf numFmtId="0" fontId="5" fillId="0" borderId="0" xfId="1" applyFont="1" applyAlignment="1" applyProtection="1">
      <alignment vertical="center" shrinkToFit="1"/>
      <protection hidden="1"/>
    </xf>
    <xf numFmtId="49" fontId="5" fillId="0" borderId="1" xfId="1" quotePrefix="1" applyNumberFormat="1" applyFont="1" applyBorder="1" applyProtection="1">
      <alignment vertical="center"/>
      <protection hidden="1"/>
    </xf>
    <xf numFmtId="0" fontId="30" fillId="0" borderId="0" xfId="4" applyFont="1" applyProtection="1">
      <alignment vertical="center"/>
      <protection hidden="1"/>
    </xf>
    <xf numFmtId="0" fontId="5" fillId="0" borderId="0" xfId="4" applyFont="1" applyProtection="1">
      <alignment vertical="center"/>
      <protection hidden="1"/>
    </xf>
    <xf numFmtId="0" fontId="10" fillId="0" borderId="0" xfId="4" applyFont="1" applyAlignment="1" applyProtection="1">
      <alignment horizontal="center" vertical="center"/>
      <protection hidden="1"/>
    </xf>
    <xf numFmtId="0" fontId="5" fillId="0" borderId="0" xfId="4" applyFont="1" applyAlignment="1" applyProtection="1">
      <alignment horizontal="center" vertical="center"/>
      <protection hidden="1"/>
    </xf>
    <xf numFmtId="0" fontId="22" fillId="0" borderId="17" xfId="3" applyFont="1" applyBorder="1" applyProtection="1">
      <alignment vertical="center"/>
      <protection hidden="1"/>
    </xf>
    <xf numFmtId="0" fontId="17" fillId="0" borderId="17" xfId="3" applyFont="1" applyBorder="1" applyAlignment="1" applyProtection="1">
      <alignment horizontal="center" vertical="center"/>
      <protection hidden="1"/>
    </xf>
    <xf numFmtId="0" fontId="24" fillId="0" borderId="0" xfId="3" applyFont="1" applyAlignment="1" applyProtection="1">
      <alignment vertical="top"/>
      <protection hidden="1"/>
    </xf>
    <xf numFmtId="0" fontId="17" fillId="0" borderId="8" xfId="3" applyFont="1" applyBorder="1" applyAlignment="1" applyProtection="1">
      <alignment horizontal="center" vertical="center"/>
      <protection hidden="1"/>
    </xf>
    <xf numFmtId="0" fontId="17" fillId="0" borderId="1" xfId="3" applyFont="1" applyBorder="1" applyProtection="1">
      <alignment vertical="center"/>
      <protection hidden="1"/>
    </xf>
    <xf numFmtId="0" fontId="17" fillId="0" borderId="15" xfId="3" applyFont="1" applyBorder="1" applyAlignment="1" applyProtection="1">
      <alignment horizontal="centerContinuous" vertical="center"/>
      <protection hidden="1"/>
    </xf>
    <xf numFmtId="0" fontId="17" fillId="0" borderId="9" xfId="3" applyFont="1" applyBorder="1" applyAlignment="1" applyProtection="1">
      <alignment horizontal="centerContinuous" vertical="center"/>
      <protection hidden="1"/>
    </xf>
    <xf numFmtId="176" fontId="17" fillId="0" borderId="14" xfId="3" applyNumberFormat="1" applyFont="1" applyBorder="1" applyAlignment="1" applyProtection="1">
      <alignment horizontal="center" vertical="center"/>
      <protection hidden="1"/>
    </xf>
    <xf numFmtId="0" fontId="5" fillId="0" borderId="8" xfId="4" applyFont="1" applyBorder="1" applyAlignment="1" applyProtection="1">
      <alignment horizontal="centerContinuous" vertical="center"/>
      <protection hidden="1"/>
    </xf>
    <xf numFmtId="0" fontId="5" fillId="0" borderId="15" xfId="4" applyFont="1" applyBorder="1" applyAlignment="1" applyProtection="1">
      <alignment horizontal="centerContinuous" vertical="center"/>
      <protection hidden="1"/>
    </xf>
    <xf numFmtId="0" fontId="5" fillId="0" borderId="9" xfId="4" applyFont="1" applyBorder="1" applyAlignment="1" applyProtection="1">
      <alignment horizontal="centerContinuous" vertical="center"/>
      <protection hidden="1"/>
    </xf>
    <xf numFmtId="0" fontId="14" fillId="0" borderId="0" xfId="5" applyFont="1" applyAlignment="1" applyProtection="1">
      <alignment horizontal="center" vertical="center"/>
      <protection hidden="1"/>
    </xf>
    <xf numFmtId="0" fontId="5" fillId="0" borderId="0" xfId="4" applyFont="1" applyAlignment="1" applyProtection="1">
      <alignment horizontal="center" vertical="center" wrapText="1"/>
      <protection hidden="1"/>
    </xf>
    <xf numFmtId="0" fontId="5" fillId="0" borderId="18" xfId="4" applyFont="1" applyBorder="1" applyProtection="1">
      <alignment vertical="center"/>
      <protection hidden="1"/>
    </xf>
    <xf numFmtId="0" fontId="5" fillId="0" borderId="18" xfId="4" applyFont="1" applyBorder="1" applyAlignment="1" applyProtection="1">
      <alignment horizontal="center" vertical="center"/>
      <protection hidden="1"/>
    </xf>
    <xf numFmtId="0" fontId="17" fillId="6" borderId="19" xfId="3" applyFont="1" applyFill="1" applyBorder="1" applyProtection="1">
      <alignment vertical="center"/>
      <protection hidden="1"/>
    </xf>
    <xf numFmtId="0" fontId="17" fillId="0" borderId="20" xfId="3" applyFont="1" applyBorder="1" applyAlignment="1" applyProtection="1">
      <alignment horizontal="center" vertical="center"/>
      <protection hidden="1"/>
    </xf>
    <xf numFmtId="177" fontId="5" fillId="0" borderId="20" xfId="4" applyNumberFormat="1" applyFont="1" applyBorder="1" applyProtection="1">
      <alignment vertical="center"/>
      <protection hidden="1"/>
    </xf>
    <xf numFmtId="178" fontId="17" fillId="0" borderId="21" xfId="3" applyNumberFormat="1" applyFont="1" applyBorder="1" applyAlignment="1" applyProtection="1">
      <alignment vertical="center" shrinkToFit="1"/>
      <protection hidden="1"/>
    </xf>
    <xf numFmtId="179" fontId="14" fillId="0" borderId="20" xfId="3" applyNumberFormat="1" applyFont="1" applyBorder="1" applyAlignment="1" applyProtection="1">
      <alignment vertical="center" shrinkToFit="1"/>
      <protection hidden="1"/>
    </xf>
    <xf numFmtId="178" fontId="14" fillId="0" borderId="21" xfId="3" applyNumberFormat="1" applyFont="1" applyBorder="1" applyAlignment="1" applyProtection="1">
      <alignment vertical="center" shrinkToFit="1"/>
      <protection hidden="1"/>
    </xf>
    <xf numFmtId="184" fontId="5" fillId="0" borderId="0" xfId="4" applyNumberFormat="1" applyFont="1" applyProtection="1">
      <alignment vertical="center"/>
      <protection hidden="1"/>
    </xf>
    <xf numFmtId="0" fontId="5" fillId="0" borderId="22" xfId="4" applyFont="1" applyBorder="1" applyProtection="1">
      <alignment vertical="center"/>
      <protection hidden="1"/>
    </xf>
    <xf numFmtId="0" fontId="5" fillId="0" borderId="22" xfId="4" applyFont="1" applyBorder="1" applyAlignment="1" applyProtection="1">
      <alignment horizontal="center" vertical="center"/>
      <protection hidden="1"/>
    </xf>
    <xf numFmtId="0" fontId="17" fillId="6" borderId="23" xfId="3" applyFont="1" applyFill="1" applyBorder="1" applyProtection="1">
      <alignment vertical="center"/>
      <protection hidden="1"/>
    </xf>
    <xf numFmtId="0" fontId="17" fillId="0" borderId="27" xfId="3" applyFont="1" applyBorder="1" applyAlignment="1" applyProtection="1">
      <alignment horizontal="center" vertical="center"/>
      <protection hidden="1"/>
    </xf>
    <xf numFmtId="177" fontId="5" fillId="0" borderId="27" xfId="4" applyNumberFormat="1" applyFont="1" applyBorder="1" applyProtection="1">
      <alignment vertical="center"/>
      <protection hidden="1"/>
    </xf>
    <xf numFmtId="178" fontId="17" fillId="0" borderId="28" xfId="3" applyNumberFormat="1" applyFont="1" applyBorder="1" applyAlignment="1" applyProtection="1">
      <alignment vertical="center" shrinkToFit="1"/>
      <protection hidden="1"/>
    </xf>
    <xf numFmtId="179" fontId="14" fillId="0" borderId="27" xfId="3" applyNumberFormat="1" applyFont="1" applyBorder="1" applyAlignment="1" applyProtection="1">
      <alignment vertical="center" shrinkToFit="1"/>
      <protection hidden="1"/>
    </xf>
    <xf numFmtId="178" fontId="14" fillId="0" borderId="28" xfId="3" applyNumberFormat="1" applyFont="1" applyBorder="1" applyAlignment="1" applyProtection="1">
      <alignment vertical="center" shrinkToFit="1"/>
      <protection hidden="1"/>
    </xf>
    <xf numFmtId="0" fontId="17" fillId="6" borderId="24" xfId="3" applyFont="1" applyFill="1" applyBorder="1" applyProtection="1">
      <alignment vertical="center"/>
      <protection hidden="1"/>
    </xf>
    <xf numFmtId="0" fontId="17" fillId="0" borderId="25" xfId="3" applyFont="1" applyBorder="1" applyAlignment="1" applyProtection="1">
      <alignment horizontal="center" vertical="center"/>
      <protection hidden="1"/>
    </xf>
    <xf numFmtId="177" fontId="5" fillId="0" borderId="25" xfId="4" applyNumberFormat="1" applyFont="1" applyBorder="1" applyProtection="1">
      <alignment vertical="center"/>
      <protection hidden="1"/>
    </xf>
    <xf numFmtId="178" fontId="17" fillId="0" borderId="26" xfId="3" applyNumberFormat="1" applyFont="1" applyBorder="1" applyAlignment="1" applyProtection="1">
      <alignment vertical="center" shrinkToFit="1"/>
      <protection hidden="1"/>
    </xf>
    <xf numFmtId="179" fontId="14" fillId="0" borderId="25" xfId="3" applyNumberFormat="1" applyFont="1" applyBorder="1" applyAlignment="1" applyProtection="1">
      <alignment vertical="center" shrinkToFit="1"/>
      <protection hidden="1"/>
    </xf>
    <xf numFmtId="178" fontId="14" fillId="0" borderId="26" xfId="3" applyNumberFormat="1" applyFont="1" applyBorder="1" applyAlignment="1" applyProtection="1">
      <alignment vertical="center" shrinkToFit="1"/>
      <protection hidden="1"/>
    </xf>
    <xf numFmtId="0" fontId="17" fillId="6" borderId="30" xfId="3" applyFont="1" applyFill="1" applyBorder="1" applyProtection="1">
      <alignment vertical="center"/>
      <protection hidden="1"/>
    </xf>
    <xf numFmtId="0" fontId="29" fillId="9" borderId="25" xfId="6" applyFont="1" applyFill="1" applyBorder="1" applyAlignment="1" applyProtection="1">
      <alignment horizontal="center" vertical="center"/>
      <protection hidden="1"/>
    </xf>
    <xf numFmtId="0" fontId="17" fillId="6" borderId="30" xfId="3" applyFont="1" applyFill="1" applyBorder="1" applyAlignment="1" applyProtection="1">
      <alignment horizontal="center" vertical="center"/>
      <protection hidden="1"/>
    </xf>
    <xf numFmtId="0" fontId="24" fillId="6" borderId="24" xfId="3" applyFont="1" applyFill="1" applyBorder="1" applyProtection="1">
      <alignment vertical="center"/>
      <protection hidden="1"/>
    </xf>
    <xf numFmtId="180" fontId="5" fillId="0" borderId="25" xfId="4" applyNumberFormat="1" applyFont="1" applyBorder="1" applyProtection="1">
      <alignment vertical="center"/>
      <protection hidden="1"/>
    </xf>
    <xf numFmtId="0" fontId="5" fillId="6" borderId="0" xfId="4" applyFont="1" applyFill="1" applyProtection="1">
      <alignment vertical="center"/>
      <protection hidden="1"/>
    </xf>
    <xf numFmtId="0" fontId="25" fillId="0" borderId="25" xfId="6" applyFont="1" applyBorder="1" applyAlignment="1" applyProtection="1">
      <alignment horizontal="center" vertical="center"/>
      <protection hidden="1"/>
    </xf>
    <xf numFmtId="180" fontId="14" fillId="0" borderId="25" xfId="4" applyNumberFormat="1" applyFont="1" applyBorder="1" applyProtection="1">
      <alignment vertical="center"/>
      <protection hidden="1"/>
    </xf>
    <xf numFmtId="178" fontId="29" fillId="9" borderId="26" xfId="3" applyNumberFormat="1" applyFont="1" applyFill="1" applyBorder="1" applyAlignment="1" applyProtection="1">
      <alignment vertical="center" shrinkToFit="1"/>
      <protection hidden="1"/>
    </xf>
    <xf numFmtId="184" fontId="10" fillId="0" borderId="0" xfId="4" applyNumberFormat="1" applyFont="1" applyProtection="1">
      <alignment vertical="center"/>
      <protection hidden="1"/>
    </xf>
    <xf numFmtId="0" fontId="10" fillId="0" borderId="0" xfId="4" applyFont="1" applyProtection="1">
      <alignment vertical="center"/>
      <protection hidden="1"/>
    </xf>
    <xf numFmtId="0" fontId="5" fillId="0" borderId="38" xfId="4" applyFont="1" applyBorder="1" applyProtection="1">
      <alignment vertical="center"/>
      <protection hidden="1"/>
    </xf>
    <xf numFmtId="0" fontId="5" fillId="0" borderId="38" xfId="4" applyFont="1" applyBorder="1" applyAlignment="1" applyProtection="1">
      <alignment horizontal="center" vertical="center"/>
      <protection hidden="1"/>
    </xf>
    <xf numFmtId="0" fontId="17" fillId="6" borderId="39" xfId="3" applyFont="1" applyFill="1" applyBorder="1" applyProtection="1">
      <alignment vertical="center"/>
      <protection hidden="1"/>
    </xf>
    <xf numFmtId="0" fontId="25" fillId="0" borderId="40" xfId="6" applyFont="1" applyBorder="1" applyAlignment="1" applyProtection="1">
      <alignment horizontal="center" vertical="center"/>
      <protection hidden="1"/>
    </xf>
    <xf numFmtId="0" fontId="5" fillId="0" borderId="40" xfId="4" applyFont="1" applyBorder="1" applyProtection="1">
      <alignment vertical="center"/>
      <protection hidden="1"/>
    </xf>
    <xf numFmtId="178" fontId="17" fillId="0" borderId="41" xfId="3" applyNumberFormat="1" applyFont="1" applyBorder="1" applyAlignment="1" applyProtection="1">
      <alignment vertical="center" shrinkToFit="1"/>
      <protection hidden="1"/>
    </xf>
    <xf numFmtId="0" fontId="5" fillId="0" borderId="25" xfId="4" applyFont="1" applyBorder="1" applyAlignment="1" applyProtection="1">
      <alignment horizontal="centerContinuous" vertical="center"/>
      <protection hidden="1"/>
    </xf>
    <xf numFmtId="0" fontId="5" fillId="0" borderId="26" xfId="4" applyFont="1" applyBorder="1" applyAlignment="1" applyProtection="1">
      <alignment horizontal="centerContinuous" vertical="center"/>
      <protection hidden="1"/>
    </xf>
    <xf numFmtId="38" fontId="5" fillId="6" borderId="19" xfId="7" applyFont="1" applyFill="1" applyBorder="1" applyAlignment="1" applyProtection="1">
      <alignment vertical="center"/>
      <protection hidden="1"/>
    </xf>
    <xf numFmtId="0" fontId="25" fillId="0" borderId="18" xfId="6" applyFont="1" applyBorder="1" applyAlignment="1" applyProtection="1">
      <alignment horizontal="center" vertical="center"/>
      <protection hidden="1"/>
    </xf>
    <xf numFmtId="181" fontId="5" fillId="0" borderId="20" xfId="4" applyNumberFormat="1" applyFont="1" applyBorder="1" applyProtection="1">
      <alignment vertical="center"/>
      <protection hidden="1"/>
    </xf>
    <xf numFmtId="0" fontId="5" fillId="0" borderId="20" xfId="4" applyFont="1" applyBorder="1" applyAlignment="1" applyProtection="1">
      <alignment horizontal="centerContinuous" vertical="center"/>
      <protection hidden="1"/>
    </xf>
    <xf numFmtId="0" fontId="5" fillId="0" borderId="21" xfId="4" applyFont="1" applyBorder="1" applyAlignment="1" applyProtection="1">
      <alignment horizontal="centerContinuous" vertical="center"/>
      <protection hidden="1"/>
    </xf>
    <xf numFmtId="38" fontId="5" fillId="6" borderId="24" xfId="7" applyFont="1" applyFill="1" applyBorder="1" applyAlignment="1" applyProtection="1">
      <alignment vertical="center"/>
      <protection hidden="1"/>
    </xf>
    <xf numFmtId="0" fontId="25" fillId="0" borderId="22" xfId="6" applyFont="1" applyBorder="1" applyAlignment="1" applyProtection="1">
      <alignment horizontal="center" vertical="center"/>
      <protection hidden="1"/>
    </xf>
    <xf numFmtId="181" fontId="5" fillId="0" borderId="25" xfId="4" applyNumberFormat="1" applyFont="1" applyBorder="1" applyProtection="1">
      <alignment vertical="center"/>
      <protection hidden="1"/>
    </xf>
    <xf numFmtId="38" fontId="14" fillId="0" borderId="24" xfId="7" applyFont="1" applyFill="1" applyBorder="1" applyAlignment="1" applyProtection="1">
      <alignment vertical="center"/>
      <protection hidden="1"/>
    </xf>
    <xf numFmtId="0" fontId="17" fillId="0" borderId="22" xfId="6" applyFont="1" applyBorder="1" applyAlignment="1" applyProtection="1">
      <alignment horizontal="center" vertical="center"/>
      <protection hidden="1"/>
    </xf>
    <xf numFmtId="181" fontId="14" fillId="0" borderId="25" xfId="4" applyNumberFormat="1" applyFont="1" applyBorder="1" applyProtection="1">
      <alignment vertical="center"/>
      <protection hidden="1"/>
    </xf>
    <xf numFmtId="0" fontId="14" fillId="0" borderId="0" xfId="4" applyFont="1" applyProtection="1">
      <alignment vertical="center"/>
      <protection hidden="1"/>
    </xf>
    <xf numFmtId="0" fontId="17" fillId="0" borderId="23" xfId="3" applyFont="1" applyBorder="1" applyProtection="1">
      <alignment vertical="center"/>
      <protection hidden="1"/>
    </xf>
    <xf numFmtId="38" fontId="5" fillId="6" borderId="39" xfId="7" applyFont="1" applyFill="1" applyBorder="1" applyAlignment="1" applyProtection="1">
      <alignment vertical="center"/>
      <protection hidden="1"/>
    </xf>
    <xf numFmtId="0" fontId="25" fillId="0" borderId="38" xfId="6" applyFont="1" applyBorder="1" applyAlignment="1" applyProtection="1">
      <alignment horizontal="center" vertical="center"/>
      <protection hidden="1"/>
    </xf>
    <xf numFmtId="181" fontId="17" fillId="0" borderId="40" xfId="3" applyNumberFormat="1" applyFont="1" applyBorder="1" applyAlignment="1" applyProtection="1">
      <alignment vertical="center" shrinkToFit="1"/>
      <protection hidden="1"/>
    </xf>
    <xf numFmtId="38" fontId="5" fillId="0" borderId="18" xfId="7" applyFont="1" applyFill="1" applyBorder="1" applyAlignment="1" applyProtection="1">
      <alignment vertical="center"/>
      <protection hidden="1"/>
    </xf>
    <xf numFmtId="38" fontId="5" fillId="0" borderId="18" xfId="7" applyFont="1" applyFill="1" applyBorder="1" applyAlignment="1" applyProtection="1">
      <alignment horizontal="center" vertical="center"/>
      <protection hidden="1"/>
    </xf>
    <xf numFmtId="0" fontId="17" fillId="0" borderId="18" xfId="3" applyFont="1" applyBorder="1" applyAlignment="1" applyProtection="1">
      <alignment horizontal="center" vertical="center"/>
      <protection hidden="1"/>
    </xf>
    <xf numFmtId="0" fontId="5" fillId="0" borderId="20" xfId="4" applyFont="1" applyBorder="1" applyProtection="1">
      <alignment vertical="center"/>
      <protection hidden="1"/>
    </xf>
    <xf numFmtId="0" fontId="5" fillId="0" borderId="21" xfId="4" applyFont="1" applyBorder="1" applyProtection="1">
      <alignment vertical="center"/>
      <protection hidden="1"/>
    </xf>
    <xf numFmtId="182" fontId="5" fillId="0" borderId="20" xfId="4" applyNumberFormat="1" applyFont="1" applyBorder="1" applyProtection="1">
      <alignment vertical="center"/>
      <protection hidden="1"/>
    </xf>
    <xf numFmtId="38" fontId="5" fillId="0" borderId="22" xfId="7" applyFont="1" applyFill="1" applyBorder="1" applyAlignment="1" applyProtection="1">
      <alignment vertical="center"/>
      <protection hidden="1"/>
    </xf>
    <xf numFmtId="38" fontId="5" fillId="0" borderId="22" xfId="7" applyFont="1" applyFill="1" applyBorder="1" applyAlignment="1" applyProtection="1">
      <alignment horizontal="center" vertical="center"/>
      <protection hidden="1"/>
    </xf>
    <xf numFmtId="0" fontId="17" fillId="0" borderId="22" xfId="3" applyFont="1" applyBorder="1" applyAlignment="1" applyProtection="1">
      <alignment horizontal="center" vertical="center"/>
      <protection hidden="1"/>
    </xf>
    <xf numFmtId="0" fontId="5" fillId="0" borderId="25" xfId="4" applyFont="1" applyBorder="1" applyProtection="1">
      <alignment vertical="center"/>
      <protection hidden="1"/>
    </xf>
    <xf numFmtId="0" fontId="5" fillId="0" borderId="26" xfId="4" applyFont="1" applyBorder="1" applyProtection="1">
      <alignment vertical="center"/>
      <protection hidden="1"/>
    </xf>
    <xf numFmtId="38" fontId="5" fillId="0" borderId="38" xfId="7" applyFont="1" applyFill="1" applyBorder="1" applyAlignment="1" applyProtection="1">
      <alignment vertical="center"/>
      <protection hidden="1"/>
    </xf>
    <xf numFmtId="38" fontId="5" fillId="0" borderId="38" xfId="7" applyFont="1" applyFill="1" applyBorder="1" applyAlignment="1" applyProtection="1">
      <alignment horizontal="center" vertical="center"/>
      <protection hidden="1"/>
    </xf>
    <xf numFmtId="0" fontId="17" fillId="0" borderId="38" xfId="3" applyFont="1" applyBorder="1" applyAlignment="1" applyProtection="1">
      <alignment horizontal="center" vertical="center"/>
      <protection hidden="1"/>
    </xf>
    <xf numFmtId="0" fontId="5" fillId="0" borderId="40" xfId="4" applyFont="1" applyBorder="1" applyAlignment="1" applyProtection="1">
      <alignment horizontal="centerContinuous" vertical="center"/>
      <protection hidden="1"/>
    </xf>
    <xf numFmtId="0" fontId="5" fillId="0" borderId="41" xfId="4" applyFont="1" applyBorder="1" applyAlignment="1" applyProtection="1">
      <alignment horizontal="centerContinuous" vertical="center"/>
      <protection hidden="1"/>
    </xf>
    <xf numFmtId="38" fontId="10" fillId="9" borderId="18" xfId="7" applyFont="1" applyFill="1" applyBorder="1" applyAlignment="1" applyProtection="1">
      <alignment vertical="center"/>
      <protection hidden="1"/>
    </xf>
    <xf numFmtId="0" fontId="29" fillId="9" borderId="20" xfId="3" applyFont="1" applyFill="1" applyBorder="1" applyAlignment="1" applyProtection="1">
      <alignment horizontal="left" vertical="center" wrapText="1"/>
      <protection hidden="1"/>
    </xf>
    <xf numFmtId="183" fontId="17" fillId="0" borderId="20" xfId="3" applyNumberFormat="1" applyFont="1" applyBorder="1" applyAlignment="1" applyProtection="1">
      <alignment vertical="center" shrinkToFit="1"/>
      <protection hidden="1"/>
    </xf>
    <xf numFmtId="183" fontId="17" fillId="0" borderId="21" xfId="3" applyNumberFormat="1" applyFont="1" applyBorder="1" applyAlignment="1" applyProtection="1">
      <alignment vertical="center" shrinkToFit="1"/>
      <protection hidden="1"/>
    </xf>
    <xf numFmtId="0" fontId="17" fillId="6" borderId="24" xfId="3" applyFont="1" applyFill="1" applyBorder="1" applyAlignment="1" applyProtection="1">
      <alignment horizontal="left" vertical="center"/>
      <protection hidden="1"/>
    </xf>
    <xf numFmtId="0" fontId="5" fillId="0" borderId="25" xfId="4" applyFont="1" applyBorder="1" applyAlignment="1" applyProtection="1">
      <alignment horizontal="left" vertical="center" indent="5"/>
      <protection hidden="1"/>
    </xf>
    <xf numFmtId="0" fontId="17" fillId="6" borderId="26" xfId="3" applyFont="1" applyFill="1" applyBorder="1" applyProtection="1">
      <alignment vertical="center"/>
      <protection hidden="1"/>
    </xf>
    <xf numFmtId="183" fontId="17" fillId="0" borderId="25" xfId="3" applyNumberFormat="1" applyFont="1" applyBorder="1" applyAlignment="1" applyProtection="1">
      <alignment vertical="center" shrinkToFit="1"/>
      <protection hidden="1"/>
    </xf>
    <xf numFmtId="183" fontId="17" fillId="0" borderId="26" xfId="3" applyNumberFormat="1" applyFont="1" applyBorder="1" applyAlignment="1" applyProtection="1">
      <alignment vertical="center" shrinkToFit="1"/>
      <protection hidden="1"/>
    </xf>
    <xf numFmtId="38" fontId="5" fillId="0" borderId="42" xfId="7" applyFont="1" applyFill="1" applyBorder="1" applyAlignment="1" applyProtection="1">
      <alignment vertical="center"/>
      <protection hidden="1"/>
    </xf>
    <xf numFmtId="38" fontId="5" fillId="0" borderId="42" xfId="7" applyFont="1" applyFill="1" applyBorder="1" applyAlignment="1" applyProtection="1">
      <alignment horizontal="center" vertical="center"/>
      <protection hidden="1"/>
    </xf>
    <xf numFmtId="0" fontId="5" fillId="6" borderId="43" xfId="4" applyFont="1" applyFill="1" applyBorder="1" applyProtection="1">
      <alignment vertical="center"/>
      <protection hidden="1"/>
    </xf>
    <xf numFmtId="0" fontId="25" fillId="0" borderId="42" xfId="6" applyFont="1" applyBorder="1" applyAlignment="1" applyProtection="1">
      <alignment horizontal="center" vertical="center"/>
      <protection hidden="1"/>
    </xf>
    <xf numFmtId="183" fontId="17" fillId="0" borderId="27" xfId="3" applyNumberFormat="1" applyFont="1" applyBorder="1" applyAlignment="1" applyProtection="1">
      <alignment vertical="center" shrinkToFit="1"/>
      <protection hidden="1"/>
    </xf>
    <xf numFmtId="183" fontId="17" fillId="0" borderId="28" xfId="3" applyNumberFormat="1" applyFont="1" applyBorder="1" applyAlignment="1" applyProtection="1">
      <alignment vertical="center" shrinkToFit="1"/>
      <protection hidden="1"/>
    </xf>
    <xf numFmtId="0" fontId="5" fillId="0" borderId="27" xfId="4" applyFont="1" applyBorder="1" applyAlignment="1" applyProtection="1">
      <alignment horizontal="centerContinuous" vertical="center"/>
      <protection hidden="1"/>
    </xf>
    <xf numFmtId="0" fontId="5" fillId="0" borderId="28" xfId="4" applyFont="1" applyBorder="1" applyAlignment="1" applyProtection="1">
      <alignment horizontal="centerContinuous" vertical="center"/>
      <protection hidden="1"/>
    </xf>
    <xf numFmtId="0" fontId="5" fillId="6" borderId="44" xfId="4" applyFont="1" applyFill="1" applyBorder="1" applyProtection="1">
      <alignment vertical="center"/>
      <protection hidden="1"/>
    </xf>
    <xf numFmtId="0" fontId="5" fillId="6" borderId="26" xfId="4" applyFont="1" applyFill="1" applyBorder="1" applyAlignment="1" applyProtection="1">
      <alignment vertical="center" wrapText="1"/>
      <protection hidden="1"/>
    </xf>
    <xf numFmtId="181" fontId="17" fillId="0" borderId="25" xfId="3" applyNumberFormat="1" applyFont="1" applyBorder="1" applyAlignment="1" applyProtection="1">
      <alignment vertical="center" shrinkToFit="1"/>
      <protection hidden="1"/>
    </xf>
    <xf numFmtId="0" fontId="5" fillId="6" borderId="37" xfId="4" applyFont="1" applyFill="1" applyBorder="1" applyProtection="1">
      <alignment vertical="center"/>
      <protection hidden="1"/>
    </xf>
    <xf numFmtId="0" fontId="5" fillId="6" borderId="26" xfId="4" applyFont="1" applyFill="1" applyBorder="1" applyProtection="1">
      <alignment vertical="center"/>
      <protection hidden="1"/>
    </xf>
    <xf numFmtId="0" fontId="5" fillId="6" borderId="45" xfId="4" applyFont="1" applyFill="1" applyBorder="1" applyProtection="1">
      <alignment vertical="center"/>
      <protection hidden="1"/>
    </xf>
    <xf numFmtId="0" fontId="5" fillId="6" borderId="30" xfId="4" applyFont="1" applyFill="1" applyBorder="1" applyProtection="1">
      <alignment vertical="center"/>
      <protection hidden="1"/>
    </xf>
    <xf numFmtId="0" fontId="5" fillId="6" borderId="44" xfId="4" applyFont="1" applyFill="1" applyBorder="1" applyAlignment="1" applyProtection="1">
      <alignment vertical="center" wrapText="1"/>
      <protection hidden="1"/>
    </xf>
    <xf numFmtId="0" fontId="5" fillId="6" borderId="47" xfId="4" applyFont="1" applyFill="1" applyBorder="1" applyProtection="1">
      <alignment vertical="center"/>
      <protection hidden="1"/>
    </xf>
    <xf numFmtId="0" fontId="5" fillId="9" borderId="22" xfId="4" applyFont="1" applyFill="1" applyBorder="1" applyProtection="1">
      <alignment vertical="center"/>
      <protection hidden="1"/>
    </xf>
    <xf numFmtId="0" fontId="10" fillId="0" borderId="0" xfId="0" applyFont="1" applyProtection="1">
      <protection hidden="1"/>
    </xf>
    <xf numFmtId="0" fontId="5" fillId="0" borderId="1" xfId="0" applyFont="1" applyBorder="1" applyAlignment="1" applyProtection="1">
      <alignment horizontal="center"/>
      <protection hidden="1"/>
    </xf>
    <xf numFmtId="0" fontId="5" fillId="0" borderId="1" xfId="0" applyFont="1" applyBorder="1" applyProtection="1">
      <protection hidden="1"/>
    </xf>
    <xf numFmtId="0" fontId="32" fillId="0" borderId="0" xfId="0" applyFont="1" applyProtection="1">
      <protection hidden="1"/>
    </xf>
    <xf numFmtId="0" fontId="5" fillId="18" borderId="1" xfId="0" applyFont="1" applyFill="1" applyBorder="1" applyAlignment="1" applyProtection="1">
      <alignment horizontal="center" shrinkToFit="1"/>
      <protection hidden="1"/>
    </xf>
    <xf numFmtId="0" fontId="5" fillId="0" borderId="1" xfId="0" applyFont="1" applyBorder="1" applyAlignment="1" applyProtection="1">
      <alignment shrinkToFit="1"/>
      <protection hidden="1"/>
    </xf>
    <xf numFmtId="0" fontId="5" fillId="0" borderId="1" xfId="0" applyFont="1" applyBorder="1" applyAlignment="1" applyProtection="1">
      <alignment horizontal="center" shrinkToFit="1"/>
      <protection hidden="1"/>
    </xf>
    <xf numFmtId="38" fontId="5" fillId="0" borderId="1" xfId="0" applyNumberFormat="1" applyFont="1" applyBorder="1" applyAlignment="1" applyProtection="1">
      <alignment shrinkToFit="1"/>
      <protection hidden="1"/>
    </xf>
    <xf numFmtId="38" fontId="5" fillId="0" borderId="0" xfId="0" applyNumberFormat="1" applyFont="1" applyProtection="1">
      <protection hidden="1"/>
    </xf>
    <xf numFmtId="0" fontId="46" fillId="0" borderId="0" xfId="0" applyFont="1" applyAlignment="1" applyProtection="1">
      <alignment vertical="center"/>
      <protection hidden="1"/>
    </xf>
    <xf numFmtId="0" fontId="44" fillId="0" borderId="0" xfId="0" applyFont="1" applyAlignment="1" applyProtection="1">
      <alignment vertical="center"/>
      <protection hidden="1"/>
    </xf>
    <xf numFmtId="14" fontId="5" fillId="11" borderId="0" xfId="0" applyNumberFormat="1" applyFont="1" applyFill="1" applyAlignment="1" applyProtection="1">
      <alignment vertical="center"/>
      <protection hidden="1"/>
    </xf>
    <xf numFmtId="0" fontId="48" fillId="11" borderId="1" xfId="0" applyFont="1" applyFill="1" applyBorder="1" applyAlignment="1" applyProtection="1">
      <alignment horizontal="center" vertical="center"/>
      <protection hidden="1"/>
    </xf>
    <xf numFmtId="0" fontId="5" fillId="0" borderId="15" xfId="0" applyFont="1" applyBorder="1" applyAlignment="1" applyProtection="1">
      <alignment horizontal="right" vertical="center"/>
      <protection hidden="1"/>
    </xf>
    <xf numFmtId="180" fontId="5" fillId="0" borderId="15" xfId="0" applyNumberFormat="1" applyFont="1" applyBorder="1" applyAlignment="1" applyProtection="1">
      <alignment vertical="center"/>
      <protection hidden="1"/>
    </xf>
    <xf numFmtId="0" fontId="43" fillId="15" borderId="11" xfId="0" applyFont="1" applyFill="1" applyBorder="1" applyAlignment="1" applyProtection="1">
      <alignment vertical="center"/>
      <protection hidden="1"/>
    </xf>
    <xf numFmtId="0" fontId="5" fillId="15" borderId="16" xfId="0" applyFont="1" applyFill="1" applyBorder="1" applyAlignment="1" applyProtection="1">
      <alignment vertical="center"/>
      <protection hidden="1"/>
    </xf>
    <xf numFmtId="0" fontId="5" fillId="15" borderId="0" xfId="0" applyFont="1" applyFill="1" applyAlignment="1" applyProtection="1">
      <alignment vertical="center"/>
      <protection hidden="1"/>
    </xf>
    <xf numFmtId="10" fontId="5" fillId="11" borderId="1" xfId="8" applyNumberFormat="1" applyFont="1" applyFill="1" applyBorder="1" applyAlignment="1" applyProtection="1">
      <alignment horizontal="center" vertical="center" shrinkToFit="1"/>
      <protection hidden="1"/>
    </xf>
    <xf numFmtId="0" fontId="5" fillId="15" borderId="11" xfId="0" applyFont="1" applyFill="1" applyBorder="1" applyAlignment="1" applyProtection="1">
      <alignment vertical="center"/>
      <protection hidden="1"/>
    </xf>
    <xf numFmtId="0" fontId="49" fillId="0" borderId="0" xfId="0" applyFont="1" applyAlignment="1" applyProtection="1">
      <alignment vertical="center"/>
      <protection hidden="1"/>
    </xf>
    <xf numFmtId="0" fontId="30" fillId="11" borderId="0" xfId="0" applyFont="1" applyFill="1" applyAlignment="1" applyProtection="1">
      <alignment horizontal="left" vertical="center"/>
      <protection hidden="1"/>
    </xf>
    <xf numFmtId="181" fontId="5" fillId="11" borderId="1" xfId="0" applyNumberFormat="1"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18" fillId="4" borderId="1" xfId="0" applyFont="1" applyFill="1" applyBorder="1" applyAlignment="1" applyProtection="1">
      <alignment horizontal="center" vertical="center"/>
      <protection hidden="1"/>
    </xf>
    <xf numFmtId="0" fontId="5" fillId="0" borderId="14"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50"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18" fillId="18" borderId="1" xfId="0" applyFont="1" applyFill="1" applyBorder="1" applyAlignment="1" applyProtection="1">
      <alignment horizontal="center" vertical="center"/>
      <protection hidden="1"/>
    </xf>
    <xf numFmtId="177" fontId="5" fillId="11" borderId="1" xfId="0" applyNumberFormat="1" applyFont="1" applyFill="1" applyBorder="1" applyAlignment="1" applyProtection="1">
      <alignment horizontal="center" vertical="center"/>
      <protection hidden="1"/>
    </xf>
    <xf numFmtId="0" fontId="51" fillId="0" borderId="0" xfId="0" applyFont="1" applyAlignment="1" applyProtection="1">
      <alignment horizontal="left" vertical="center" wrapText="1" indent="2"/>
      <protection hidden="1"/>
    </xf>
    <xf numFmtId="0" fontId="5" fillId="0" borderId="15" xfId="0" applyFont="1" applyBorder="1" applyAlignment="1" applyProtection="1">
      <alignment vertical="center"/>
      <protection hidden="1"/>
    </xf>
    <xf numFmtId="0" fontId="5" fillId="0" borderId="9" xfId="0" applyFont="1" applyBorder="1" applyAlignment="1" applyProtection="1">
      <alignment vertical="center"/>
      <protection hidden="1"/>
    </xf>
    <xf numFmtId="0" fontId="7" fillId="9" borderId="1" xfId="0" applyFont="1" applyFill="1" applyBorder="1" applyAlignment="1" applyProtection="1">
      <alignment horizontal="center" vertical="center" shrinkToFit="1"/>
      <protection locked="0"/>
    </xf>
    <xf numFmtId="183" fontId="5" fillId="11" borderId="0" xfId="0" applyNumberFormat="1" applyFont="1" applyFill="1" applyAlignment="1" applyProtection="1">
      <alignment horizontal="center" vertical="center"/>
      <protection hidden="1"/>
    </xf>
    <xf numFmtId="0" fontId="5" fillId="11" borderId="0" xfId="0" applyFont="1" applyFill="1" applyAlignment="1" applyProtection="1">
      <alignment horizontal="center" vertical="center" shrinkToFit="1"/>
      <protection hidden="1"/>
    </xf>
    <xf numFmtId="0" fontId="5" fillId="11" borderId="1" xfId="0" applyFont="1" applyFill="1" applyBorder="1" applyAlignment="1" applyProtection="1">
      <alignment horizontal="center" vertical="center" shrinkToFit="1"/>
      <protection hidden="1"/>
    </xf>
    <xf numFmtId="183" fontId="5" fillId="11" borderId="1" xfId="0" applyNumberFormat="1" applyFont="1" applyFill="1" applyBorder="1" applyAlignment="1" applyProtection="1">
      <alignment horizontal="center" vertical="center"/>
      <protection hidden="1"/>
    </xf>
    <xf numFmtId="185" fontId="18" fillId="0" borderId="8" xfId="0" applyNumberFormat="1" applyFont="1" applyBorder="1" applyAlignment="1" applyProtection="1">
      <alignment horizontal="right" vertical="center"/>
      <protection hidden="1"/>
    </xf>
    <xf numFmtId="185" fontId="18" fillId="0" borderId="15" xfId="0" applyNumberFormat="1" applyFont="1" applyBorder="1" applyAlignment="1" applyProtection="1">
      <alignment horizontal="right" vertical="center"/>
      <protection hidden="1"/>
    </xf>
    <xf numFmtId="0" fontId="5" fillId="18" borderId="2" xfId="0" applyFont="1" applyFill="1" applyBorder="1" applyAlignment="1" applyProtection="1">
      <alignment horizontal="center" vertical="center"/>
      <protection hidden="1"/>
    </xf>
    <xf numFmtId="0" fontId="5" fillId="18" borderId="50" xfId="0" applyFont="1" applyFill="1" applyBorder="1" applyAlignment="1" applyProtection="1">
      <alignment horizontal="center" vertical="center"/>
      <protection hidden="1"/>
    </xf>
    <xf numFmtId="0" fontId="5" fillId="18" borderId="3" xfId="0" applyFont="1" applyFill="1" applyBorder="1" applyAlignment="1" applyProtection="1">
      <alignment horizontal="center" vertical="center"/>
      <protection hidden="1"/>
    </xf>
    <xf numFmtId="0" fontId="5" fillId="18" borderId="4" xfId="0" applyFont="1" applyFill="1" applyBorder="1" applyAlignment="1" applyProtection="1">
      <alignment horizontal="center" vertical="center"/>
      <protection hidden="1"/>
    </xf>
    <xf numFmtId="0" fontId="5" fillId="18" borderId="0" xfId="0" applyFont="1" applyFill="1" applyAlignment="1" applyProtection="1">
      <alignment horizontal="center" vertical="center"/>
      <protection hidden="1"/>
    </xf>
    <xf numFmtId="0" fontId="5" fillId="18" borderId="5" xfId="0" applyFont="1" applyFill="1" applyBorder="1" applyAlignment="1" applyProtection="1">
      <alignment horizontal="center" vertical="center"/>
      <protection hidden="1"/>
    </xf>
    <xf numFmtId="0" fontId="5" fillId="18" borderId="6" xfId="0" applyFont="1" applyFill="1" applyBorder="1" applyAlignment="1" applyProtection="1">
      <alignment horizontal="center" vertical="center"/>
      <protection hidden="1"/>
    </xf>
    <xf numFmtId="0" fontId="5" fillId="18" borderId="17" xfId="0" applyFont="1" applyFill="1" applyBorder="1" applyAlignment="1" applyProtection="1">
      <alignment horizontal="center" vertical="center"/>
      <protection hidden="1"/>
    </xf>
    <xf numFmtId="0" fontId="5" fillId="18" borderId="7" xfId="0" applyFont="1" applyFill="1" applyBorder="1" applyAlignment="1" applyProtection="1">
      <alignment horizontal="center" vertical="center"/>
      <protection hidden="1"/>
    </xf>
    <xf numFmtId="0" fontId="6" fillId="24" borderId="52" xfId="0" applyFont="1" applyFill="1" applyBorder="1" applyAlignment="1" applyProtection="1">
      <alignment horizontal="center" vertical="center"/>
      <protection hidden="1"/>
    </xf>
    <xf numFmtId="0" fontId="6" fillId="24" borderId="51" xfId="0" applyFont="1" applyFill="1" applyBorder="1" applyAlignment="1" applyProtection="1">
      <alignment horizontal="center" vertical="center"/>
      <protection hidden="1"/>
    </xf>
    <xf numFmtId="177" fontId="18" fillId="0" borderId="8" xfId="0" applyNumberFormat="1" applyFont="1" applyBorder="1" applyAlignment="1" applyProtection="1">
      <alignment horizontal="right" vertical="center"/>
      <protection hidden="1"/>
    </xf>
    <xf numFmtId="177" fontId="18" fillId="0" borderId="15" xfId="0" applyNumberFormat="1" applyFont="1" applyBorder="1" applyAlignment="1" applyProtection="1">
      <alignment horizontal="right" vertical="center"/>
      <protection hidden="1"/>
    </xf>
    <xf numFmtId="0" fontId="34" fillId="0" borderId="15" xfId="0" applyFont="1" applyBorder="1" applyAlignment="1" applyProtection="1">
      <alignment horizontal="left" vertical="center"/>
      <protection hidden="1"/>
    </xf>
    <xf numFmtId="0" fontId="34" fillId="0" borderId="9" xfId="0" applyFont="1" applyBorder="1" applyAlignment="1" applyProtection="1">
      <alignment horizontal="left" vertical="center"/>
      <protection hidden="1"/>
    </xf>
    <xf numFmtId="38" fontId="18" fillId="0" borderId="8" xfId="2" applyFont="1" applyFill="1" applyBorder="1" applyAlignment="1" applyProtection="1">
      <alignment horizontal="right" vertical="center"/>
      <protection hidden="1"/>
    </xf>
    <xf numFmtId="38" fontId="18" fillId="0" borderId="15" xfId="2" applyFont="1" applyFill="1" applyBorder="1" applyAlignment="1" applyProtection="1">
      <alignment horizontal="right" vertical="center"/>
      <protection hidden="1"/>
    </xf>
    <xf numFmtId="0" fontId="18" fillId="0" borderId="1" xfId="0" applyFont="1" applyBorder="1" applyAlignment="1" applyProtection="1">
      <alignment horizontal="center" vertical="center"/>
      <protection hidden="1"/>
    </xf>
    <xf numFmtId="180" fontId="33" fillId="2" borderId="15" xfId="2" applyNumberFormat="1" applyFont="1" applyFill="1" applyBorder="1" applyAlignment="1" applyProtection="1">
      <alignment horizontal="right" vertical="center"/>
      <protection locked="0"/>
    </xf>
    <xf numFmtId="0" fontId="18" fillId="0" borderId="15" xfId="0" applyFont="1" applyBorder="1" applyAlignment="1" applyProtection="1">
      <alignment horizontal="left" vertical="center"/>
      <protection hidden="1"/>
    </xf>
    <xf numFmtId="0" fontId="18" fillId="0" borderId="9" xfId="0" applyFont="1" applyBorder="1" applyAlignment="1" applyProtection="1">
      <alignment horizontal="left" vertical="center"/>
      <protection hidden="1"/>
    </xf>
    <xf numFmtId="0" fontId="5" fillId="19" borderId="9" xfId="0" applyFont="1" applyFill="1" applyBorder="1" applyAlignment="1" applyProtection="1">
      <alignment vertical="center"/>
      <protection hidden="1"/>
    </xf>
    <xf numFmtId="0" fontId="5" fillId="19" borderId="1" xfId="0" applyFont="1" applyFill="1" applyBorder="1" applyAlignment="1" applyProtection="1">
      <alignment vertical="center"/>
      <protection hidden="1"/>
    </xf>
    <xf numFmtId="0" fontId="18" fillId="4" borderId="8"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protection hidden="1"/>
    </xf>
    <xf numFmtId="0" fontId="18" fillId="4" borderId="9" xfId="0" applyFont="1" applyFill="1" applyBorder="1" applyAlignment="1" applyProtection="1">
      <alignment horizontal="center" vertical="center"/>
      <protection hidden="1"/>
    </xf>
    <xf numFmtId="0" fontId="5" fillId="2" borderId="8"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hidden="1"/>
    </xf>
    <xf numFmtId="0" fontId="5" fillId="19" borderId="9" xfId="0" applyFont="1" applyFill="1" applyBorder="1" applyAlignment="1" applyProtection="1">
      <alignment horizontal="left" vertical="center"/>
      <protection hidden="1"/>
    </xf>
    <xf numFmtId="0" fontId="5" fillId="19" borderId="1"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1" xfId="0" applyFont="1" applyBorder="1" applyAlignment="1" applyProtection="1">
      <alignment vertical="center"/>
      <protection hidden="1"/>
    </xf>
    <xf numFmtId="0" fontId="5" fillId="2" borderId="15" xfId="0" applyFont="1" applyFill="1" applyBorder="1" applyAlignment="1" applyProtection="1">
      <alignment horizontal="left" vertical="center" shrinkToFit="1"/>
      <protection locked="0" hidden="1"/>
    </xf>
    <xf numFmtId="0" fontId="5" fillId="2" borderId="9" xfId="0" applyFont="1" applyFill="1" applyBorder="1" applyAlignment="1" applyProtection="1">
      <alignment horizontal="left" vertical="center" shrinkToFit="1"/>
      <protection locked="0" hidden="1"/>
    </xf>
    <xf numFmtId="0" fontId="5" fillId="0" borderId="8" xfId="0" applyFont="1" applyBorder="1" applyAlignment="1" applyProtection="1">
      <alignment vertical="center"/>
      <protection hidden="1"/>
    </xf>
    <xf numFmtId="49" fontId="5" fillId="2" borderId="15" xfId="0" applyNumberFormat="1" applyFont="1" applyFill="1" applyBorder="1" applyAlignment="1" applyProtection="1">
      <alignment horizontal="left" vertical="center" shrinkToFit="1"/>
      <protection locked="0"/>
    </xf>
    <xf numFmtId="49" fontId="5" fillId="2" borderId="9"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protection locked="0"/>
    </xf>
    <xf numFmtId="0" fontId="5" fillId="18" borderId="8" xfId="0" applyFont="1" applyFill="1" applyBorder="1" applyAlignment="1" applyProtection="1">
      <alignment horizontal="center" vertical="center"/>
      <protection hidden="1"/>
    </xf>
    <xf numFmtId="0" fontId="5" fillId="18" borderId="15" xfId="0" applyFont="1" applyFill="1" applyBorder="1" applyAlignment="1" applyProtection="1">
      <alignment horizontal="center" vertical="center"/>
      <protection hidden="1"/>
    </xf>
    <xf numFmtId="0" fontId="5" fillId="18" borderId="9" xfId="0" applyFont="1" applyFill="1" applyBorder="1" applyAlignment="1" applyProtection="1">
      <alignment horizontal="center" vertical="center"/>
      <protection hidden="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18" borderId="14" xfId="0" applyFont="1" applyFill="1" applyBorder="1" applyAlignment="1" applyProtection="1">
      <alignment horizontal="center" vertical="center"/>
      <protection hidden="1"/>
    </xf>
    <xf numFmtId="0" fontId="5" fillId="18" borderId="11"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0" fontId="5" fillId="18" borderId="2" xfId="0" applyFont="1" applyFill="1" applyBorder="1" applyAlignment="1" applyProtection="1">
      <alignment horizontal="center" vertical="center" wrapText="1"/>
      <protection hidden="1"/>
    </xf>
    <xf numFmtId="0" fontId="13" fillId="11" borderId="0" xfId="0" applyFont="1" applyFill="1" applyAlignment="1" applyProtection="1">
      <alignment vertical="center"/>
      <protection hidden="1"/>
    </xf>
    <xf numFmtId="0" fontId="41" fillId="2" borderId="15" xfId="9"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2" borderId="9" xfId="0" applyFont="1" applyFill="1" applyBorder="1" applyAlignment="1" applyProtection="1">
      <alignment horizontal="left" vertical="center" shrinkToFit="1"/>
      <protection locked="0"/>
    </xf>
    <xf numFmtId="0" fontId="52" fillId="0" borderId="8" xfId="0" applyFont="1" applyBorder="1" applyAlignment="1">
      <alignment horizontal="left" vertical="center" indent="2"/>
    </xf>
    <xf numFmtId="0" fontId="52" fillId="0" borderId="15" xfId="0" applyFont="1" applyBorder="1" applyAlignment="1">
      <alignment horizontal="left" vertical="center" indent="2"/>
    </xf>
    <xf numFmtId="0" fontId="52" fillId="0" borderId="9" xfId="0" applyFont="1" applyBorder="1" applyAlignment="1">
      <alignment horizontal="left" vertical="center" indent="2"/>
    </xf>
    <xf numFmtId="0" fontId="40" fillId="0" borderId="0" xfId="0" applyFont="1" applyAlignment="1" applyProtection="1">
      <alignment horizontal="center" vertical="center"/>
      <protection hidden="1"/>
    </xf>
    <xf numFmtId="0" fontId="17" fillId="11" borderId="0" xfId="0" applyFont="1" applyFill="1" applyAlignment="1" applyProtection="1">
      <alignment vertical="center"/>
      <protection hidden="1"/>
    </xf>
    <xf numFmtId="0" fontId="5" fillId="0" borderId="4" xfId="0" applyFont="1" applyBorder="1" applyAlignment="1" applyProtection="1">
      <alignment vertical="center"/>
      <protection hidden="1"/>
    </xf>
    <xf numFmtId="0" fontId="5" fillId="0" borderId="5" xfId="0" applyFont="1" applyBorder="1" applyAlignment="1" applyProtection="1">
      <alignment vertical="center"/>
      <protection hidden="1"/>
    </xf>
    <xf numFmtId="14" fontId="5" fillId="11" borderId="8" xfId="0" applyNumberFormat="1" applyFont="1" applyFill="1" applyBorder="1" applyAlignment="1" applyProtection="1">
      <alignment horizontal="center" vertical="center"/>
      <protection hidden="1"/>
    </xf>
    <xf numFmtId="14" fontId="5" fillId="11" borderId="9" xfId="0" applyNumberFormat="1" applyFont="1" applyFill="1" applyBorder="1" applyAlignment="1" applyProtection="1">
      <alignment horizontal="center" vertical="center"/>
      <protection hidden="1"/>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14" fillId="2" borderId="8" xfId="0" applyFont="1" applyFill="1" applyBorder="1" applyAlignment="1" applyProtection="1">
      <alignment vertical="center" shrinkToFit="1"/>
      <protection locked="0"/>
    </xf>
    <xf numFmtId="0" fontId="14" fillId="2" borderId="15" xfId="0" applyFont="1" applyFill="1" applyBorder="1" applyAlignment="1" applyProtection="1">
      <alignment vertical="center" shrinkToFit="1"/>
      <protection locked="0"/>
    </xf>
    <xf numFmtId="0" fontId="14" fillId="2" borderId="9" xfId="0" applyFont="1" applyFill="1" applyBorder="1" applyAlignment="1" applyProtection="1">
      <alignment vertical="center" shrinkToFit="1"/>
      <protection locked="0"/>
    </xf>
    <xf numFmtId="0" fontId="5" fillId="4" borderId="1" xfId="0" applyFont="1" applyFill="1" applyBorder="1" applyAlignment="1" applyProtection="1">
      <alignment horizontal="center" vertical="center"/>
      <protection hidden="1"/>
    </xf>
    <xf numFmtId="0" fontId="5" fillId="4" borderId="8" xfId="0" applyFont="1" applyFill="1" applyBorder="1" applyAlignment="1" applyProtection="1">
      <alignment horizontal="center" vertical="center"/>
      <protection hidden="1"/>
    </xf>
    <xf numFmtId="0" fontId="5" fillId="4" borderId="15" xfId="0" applyFont="1" applyFill="1" applyBorder="1" applyAlignment="1" applyProtection="1">
      <alignment horizontal="center" vertical="center"/>
      <protection hidden="1"/>
    </xf>
    <xf numFmtId="0" fontId="5" fillId="4" borderId="9" xfId="0" applyFont="1" applyFill="1" applyBorder="1" applyAlignment="1" applyProtection="1">
      <alignment horizontal="center" vertical="center"/>
      <protection hidden="1"/>
    </xf>
    <xf numFmtId="0" fontId="5" fillId="0" borderId="8" xfId="0" applyFont="1" applyBorder="1" applyAlignment="1" applyProtection="1">
      <alignment vertical="center" shrinkToFit="1"/>
      <protection hidden="1"/>
    </xf>
    <xf numFmtId="0" fontId="5" fillId="0" borderId="15" xfId="0" applyFont="1" applyBorder="1" applyAlignment="1" applyProtection="1">
      <alignment vertical="center" shrinkToFit="1"/>
      <protection hidden="1"/>
    </xf>
    <xf numFmtId="0" fontId="5" fillId="0" borderId="9" xfId="0" applyFont="1" applyBorder="1" applyAlignment="1" applyProtection="1">
      <alignment vertical="center" shrinkToFit="1"/>
      <protection hidden="1"/>
    </xf>
    <xf numFmtId="0" fontId="54" fillId="0" borderId="0" xfId="9" applyFont="1" applyFill="1" applyAlignment="1" applyProtection="1">
      <alignment horizontal="right" vertical="center"/>
      <protection locked="0" hidden="1"/>
    </xf>
    <xf numFmtId="0" fontId="18" fillId="0" borderId="0" xfId="0" applyFont="1" applyAlignment="1" applyProtection="1">
      <alignment horizontal="right" vertical="center"/>
      <protection locked="0" hidden="1"/>
    </xf>
    <xf numFmtId="0" fontId="5" fillId="19" borderId="1" xfId="0" applyFont="1" applyFill="1" applyBorder="1" applyAlignment="1">
      <alignment horizontal="center" vertical="center"/>
    </xf>
    <xf numFmtId="0" fontId="5" fillId="0" borderId="1"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93" fontId="5" fillId="2" borderId="2" xfId="2" applyNumberFormat="1" applyFont="1" applyFill="1" applyBorder="1" applyAlignment="1" applyProtection="1">
      <alignment horizontal="center" vertical="center"/>
      <protection locked="0" hidden="1"/>
    </xf>
    <xf numFmtId="193" fontId="5" fillId="2" borderId="3" xfId="2" applyNumberFormat="1" applyFont="1" applyFill="1" applyBorder="1" applyAlignment="1" applyProtection="1">
      <alignment horizontal="center" vertical="center"/>
      <protection locked="0" hidden="1"/>
    </xf>
    <xf numFmtId="193" fontId="5" fillId="2" borderId="4" xfId="2" applyNumberFormat="1" applyFont="1" applyFill="1" applyBorder="1" applyAlignment="1" applyProtection="1">
      <alignment horizontal="center" vertical="center"/>
      <protection locked="0" hidden="1"/>
    </xf>
    <xf numFmtId="193" fontId="5" fillId="2" borderId="5" xfId="2" applyNumberFormat="1" applyFont="1" applyFill="1" applyBorder="1" applyAlignment="1" applyProtection="1">
      <alignment horizontal="center" vertical="center"/>
      <protection locked="0" hidden="1"/>
    </xf>
    <xf numFmtId="193" fontId="5" fillId="2" borderId="6" xfId="2" applyNumberFormat="1" applyFont="1" applyFill="1" applyBorder="1" applyAlignment="1" applyProtection="1">
      <alignment horizontal="center" vertical="center"/>
      <protection locked="0" hidden="1"/>
    </xf>
    <xf numFmtId="193" fontId="5" fillId="2" borderId="7" xfId="2" applyNumberFormat="1" applyFont="1" applyFill="1" applyBorder="1" applyAlignment="1" applyProtection="1">
      <alignment horizontal="center" vertical="center"/>
      <protection locked="0" hidden="1"/>
    </xf>
    <xf numFmtId="193" fontId="5" fillId="2" borderId="54" xfId="2" applyNumberFormat="1" applyFont="1" applyFill="1" applyBorder="1" applyAlignment="1" applyProtection="1">
      <alignment horizontal="center" vertical="center"/>
      <protection locked="0" hidden="1"/>
    </xf>
    <xf numFmtId="193" fontId="5" fillId="2" borderId="55" xfId="2" applyNumberFormat="1" applyFont="1" applyFill="1" applyBorder="1" applyAlignment="1" applyProtection="1">
      <alignment horizontal="center" vertical="center"/>
      <protection locked="0" hidden="1"/>
    </xf>
    <xf numFmtId="0" fontId="18" fillId="24" borderId="2" xfId="0" applyFont="1" applyFill="1" applyBorder="1" applyAlignment="1" applyProtection="1">
      <alignment horizontal="center" vertical="center" textRotation="255"/>
      <protection hidden="1"/>
    </xf>
    <xf numFmtId="0" fontId="18" fillId="24" borderId="4" xfId="0" applyFont="1" applyFill="1" applyBorder="1" applyAlignment="1" applyProtection="1">
      <alignment horizontal="center" vertical="center" textRotation="255"/>
      <protection hidden="1"/>
    </xf>
    <xf numFmtId="0" fontId="18" fillId="24" borderId="6" xfId="0" applyFont="1" applyFill="1" applyBorder="1" applyAlignment="1" applyProtection="1">
      <alignment horizontal="center" vertical="center" textRotation="255"/>
      <protection hidden="1"/>
    </xf>
    <xf numFmtId="0" fontId="18" fillId="25" borderId="14" xfId="0" applyFont="1" applyFill="1" applyBorder="1" applyAlignment="1" applyProtection="1">
      <alignment horizontal="center" vertical="center" textRotation="255"/>
      <protection hidden="1"/>
    </xf>
    <xf numFmtId="0" fontId="18" fillId="25" borderId="16" xfId="0" applyFont="1" applyFill="1" applyBorder="1" applyAlignment="1" applyProtection="1">
      <alignment horizontal="center" vertical="center" textRotation="255"/>
      <protection hidden="1"/>
    </xf>
    <xf numFmtId="0" fontId="18" fillId="25" borderId="6" xfId="0" applyFont="1" applyFill="1" applyBorder="1" applyAlignment="1" applyProtection="1">
      <alignment horizontal="center" vertical="center" textRotation="255"/>
      <protection hidden="1"/>
    </xf>
    <xf numFmtId="0" fontId="5" fillId="2" borderId="53"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6" fillId="25" borderId="17" xfId="0" applyFont="1" applyFill="1" applyBorder="1" applyAlignment="1" applyProtection="1">
      <alignment horizontal="center" vertical="center"/>
      <protection hidden="1"/>
    </xf>
    <xf numFmtId="0" fontId="6" fillId="25" borderId="7" xfId="0" applyFont="1" applyFill="1" applyBorder="1" applyAlignment="1" applyProtection="1">
      <alignment horizontal="center" vertical="center"/>
      <protection hidden="1"/>
    </xf>
    <xf numFmtId="0" fontId="18" fillId="24" borderId="2" xfId="0" applyFont="1" applyFill="1" applyBorder="1" applyAlignment="1">
      <alignment horizontal="center" vertical="center" textRotation="255"/>
    </xf>
    <xf numFmtId="0" fontId="18" fillId="24" borderId="3" xfId="0" applyFont="1" applyFill="1" applyBorder="1" applyAlignment="1">
      <alignment horizontal="center" vertical="center" textRotation="255"/>
    </xf>
    <xf numFmtId="0" fontId="18" fillId="24" borderId="4" xfId="0" applyFont="1" applyFill="1" applyBorder="1" applyAlignment="1">
      <alignment horizontal="center" vertical="center" textRotation="255"/>
    </xf>
    <xf numFmtId="0" fontId="18" fillId="24" borderId="5" xfId="0" applyFont="1" applyFill="1" applyBorder="1" applyAlignment="1">
      <alignment horizontal="center" vertical="center" textRotation="255"/>
    </xf>
    <xf numFmtId="0" fontId="18" fillId="24" borderId="6" xfId="0" applyFont="1" applyFill="1" applyBorder="1" applyAlignment="1">
      <alignment horizontal="center" vertical="center" textRotation="255"/>
    </xf>
    <xf numFmtId="0" fontId="18" fillId="24" borderId="17" xfId="0" applyFont="1" applyFill="1" applyBorder="1" applyAlignment="1">
      <alignment horizontal="center" vertical="center" textRotation="255"/>
    </xf>
    <xf numFmtId="0" fontId="18" fillId="25" borderId="2" xfId="0" applyFont="1" applyFill="1" applyBorder="1" applyAlignment="1" applyProtection="1">
      <alignment horizontal="center" vertical="center" textRotation="255"/>
      <protection hidden="1"/>
    </xf>
    <xf numFmtId="0" fontId="18" fillId="25" borderId="3" xfId="0" applyFont="1" applyFill="1" applyBorder="1" applyAlignment="1" applyProtection="1">
      <alignment horizontal="center" vertical="center" textRotation="255"/>
      <protection hidden="1"/>
    </xf>
    <xf numFmtId="0" fontId="18" fillId="25" borderId="4" xfId="0" applyFont="1" applyFill="1" applyBorder="1" applyAlignment="1" applyProtection="1">
      <alignment horizontal="center" vertical="center" textRotation="255"/>
      <protection hidden="1"/>
    </xf>
    <xf numFmtId="0" fontId="18" fillId="25" borderId="5" xfId="0" applyFont="1" applyFill="1" applyBorder="1" applyAlignment="1" applyProtection="1">
      <alignment horizontal="center" vertical="center" textRotation="255"/>
      <protection hidden="1"/>
    </xf>
    <xf numFmtId="0" fontId="18" fillId="25" borderId="17" xfId="0" applyFont="1" applyFill="1" applyBorder="1" applyAlignment="1" applyProtection="1">
      <alignment horizontal="center" vertical="center" textRotation="255"/>
      <protection hidden="1"/>
    </xf>
    <xf numFmtId="0" fontId="5" fillId="19" borderId="8" xfId="0" applyFont="1" applyFill="1" applyBorder="1" applyAlignment="1" applyProtection="1">
      <alignment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193" fontId="6" fillId="0" borderId="6" xfId="0" applyNumberFormat="1" applyFont="1" applyBorder="1" applyAlignment="1" applyProtection="1">
      <alignment horizontal="center" vertical="center"/>
      <protection hidden="1"/>
    </xf>
    <xf numFmtId="193" fontId="6" fillId="0" borderId="7" xfId="0" applyNumberFormat="1" applyFont="1" applyBorder="1" applyAlignment="1" applyProtection="1">
      <alignment horizontal="center" vertical="center"/>
      <protection hidden="1"/>
    </xf>
    <xf numFmtId="0" fontId="5" fillId="0" borderId="1" xfId="0" applyFont="1" applyBorder="1" applyAlignment="1">
      <alignment horizontal="left" vertical="center" indent="1"/>
    </xf>
    <xf numFmtId="0" fontId="5" fillId="0" borderId="1" xfId="0" applyFont="1" applyBorder="1" applyAlignment="1" applyProtection="1">
      <alignment horizontal="left" vertical="center" indent="1"/>
      <protection hidden="1"/>
    </xf>
    <xf numFmtId="0" fontId="5" fillId="0" borderId="10" xfId="0" applyFont="1" applyBorder="1" applyAlignment="1" applyProtection="1">
      <alignment horizontal="left" vertical="center" indent="1"/>
      <protection hidden="1"/>
    </xf>
    <xf numFmtId="0" fontId="58" fillId="25" borderId="14" xfId="0" applyFont="1" applyFill="1" applyBorder="1" applyAlignment="1" applyProtection="1">
      <alignment horizontal="center" vertical="center" textRotation="255"/>
      <protection hidden="1"/>
    </xf>
    <xf numFmtId="0" fontId="58" fillId="25" borderId="16" xfId="0" applyFont="1" applyFill="1" applyBorder="1" applyAlignment="1" applyProtection="1">
      <alignment horizontal="center" vertical="center" textRotation="255"/>
      <protection hidden="1"/>
    </xf>
    <xf numFmtId="0" fontId="58" fillId="25" borderId="6" xfId="0" applyFont="1" applyFill="1" applyBorder="1" applyAlignment="1" applyProtection="1">
      <alignment horizontal="center" vertical="center" textRotation="255"/>
      <protection hidden="1"/>
    </xf>
    <xf numFmtId="180" fontId="18" fillId="0" borderId="8" xfId="2" applyNumberFormat="1" applyFont="1" applyFill="1" applyBorder="1" applyAlignment="1" applyProtection="1">
      <alignment horizontal="right" vertical="center"/>
      <protection hidden="1"/>
    </xf>
    <xf numFmtId="180" fontId="18" fillId="0" borderId="15" xfId="2" applyNumberFormat="1" applyFont="1" applyFill="1" applyBorder="1" applyAlignment="1" applyProtection="1">
      <alignment horizontal="right" vertical="center"/>
      <protection hidden="1"/>
    </xf>
    <xf numFmtId="181" fontId="18" fillId="0" borderId="8" xfId="2" applyNumberFormat="1" applyFont="1" applyFill="1" applyBorder="1" applyAlignment="1" applyProtection="1">
      <alignment horizontal="right" vertical="center"/>
      <protection hidden="1"/>
    </xf>
    <xf numFmtId="181" fontId="18" fillId="0" borderId="15" xfId="2" applyNumberFormat="1" applyFont="1" applyFill="1" applyBorder="1" applyAlignment="1" applyProtection="1">
      <alignment horizontal="right" vertical="center"/>
      <protection hidden="1"/>
    </xf>
    <xf numFmtId="189" fontId="18" fillId="0" borderId="8" xfId="2" applyNumberFormat="1" applyFont="1" applyFill="1" applyBorder="1" applyAlignment="1" applyProtection="1">
      <alignment horizontal="right" vertical="center"/>
      <protection hidden="1"/>
    </xf>
    <xf numFmtId="189" fontId="18" fillId="0" borderId="15" xfId="2" applyNumberFormat="1" applyFont="1" applyFill="1" applyBorder="1" applyAlignment="1" applyProtection="1">
      <alignment horizontal="right" vertical="center"/>
      <protection hidden="1"/>
    </xf>
    <xf numFmtId="0" fontId="34" fillId="10" borderId="1" xfId="0" applyFont="1" applyFill="1" applyBorder="1" applyAlignment="1" applyProtection="1">
      <alignment horizontal="center" vertical="center"/>
      <protection hidden="1"/>
    </xf>
    <xf numFmtId="0" fontId="5" fillId="2" borderId="53" xfId="0" applyFont="1" applyFill="1" applyBorder="1" applyAlignment="1" applyProtection="1">
      <alignment vertical="center"/>
      <protection locked="0" hidden="1"/>
    </xf>
    <xf numFmtId="0" fontId="5" fillId="2" borderId="13" xfId="0" applyFont="1" applyFill="1" applyBorder="1" applyAlignment="1" applyProtection="1">
      <alignment vertical="center"/>
      <protection locked="0" hidden="1"/>
    </xf>
    <xf numFmtId="0" fontId="58" fillId="24" borderId="2" xfId="0" applyFont="1" applyFill="1" applyBorder="1" applyAlignment="1">
      <alignment horizontal="center" vertical="center" textRotation="255"/>
    </xf>
    <xf numFmtId="0" fontId="58" fillId="24" borderId="3" xfId="0" applyFont="1" applyFill="1" applyBorder="1" applyAlignment="1">
      <alignment horizontal="center" vertical="center" textRotation="255"/>
    </xf>
    <xf numFmtId="0" fontId="58" fillId="24" borderId="4" xfId="0" applyFont="1" applyFill="1" applyBorder="1" applyAlignment="1">
      <alignment horizontal="center" vertical="center" textRotation="255"/>
    </xf>
    <xf numFmtId="0" fontId="58" fillId="24" borderId="5" xfId="0" applyFont="1" applyFill="1" applyBorder="1" applyAlignment="1">
      <alignment horizontal="center" vertical="center" textRotation="255"/>
    </xf>
    <xf numFmtId="0" fontId="58" fillId="24" borderId="6" xfId="0" applyFont="1" applyFill="1" applyBorder="1" applyAlignment="1">
      <alignment horizontal="center" vertical="center" textRotation="255"/>
    </xf>
    <xf numFmtId="0" fontId="58" fillId="24" borderId="17" xfId="0" applyFont="1" applyFill="1" applyBorder="1" applyAlignment="1">
      <alignment horizontal="center" vertical="center" textRotation="255"/>
    </xf>
    <xf numFmtId="0" fontId="5" fillId="0" borderId="15" xfId="0" applyFont="1" applyBorder="1" applyAlignment="1" applyProtection="1">
      <alignment horizontal="center" vertical="center"/>
      <protection hidden="1"/>
    </xf>
    <xf numFmtId="10" fontId="5" fillId="11" borderId="1" xfId="8" applyNumberFormat="1" applyFont="1" applyFill="1" applyBorder="1" applyAlignment="1" applyProtection="1">
      <alignment horizontal="center" vertical="center"/>
      <protection hidden="1"/>
    </xf>
    <xf numFmtId="0" fontId="5" fillId="2" borderId="1" xfId="0" applyFont="1" applyFill="1" applyBorder="1" applyAlignment="1" applyProtection="1">
      <alignment horizontal="left" vertical="center"/>
      <protection locked="0" hidden="1"/>
    </xf>
    <xf numFmtId="0" fontId="5" fillId="19" borderId="1" xfId="0" applyFont="1" applyFill="1" applyBorder="1" applyAlignment="1" applyProtection="1">
      <alignment horizontal="center" vertical="center"/>
      <protection hidden="1"/>
    </xf>
    <xf numFmtId="0" fontId="58" fillId="24" borderId="2" xfId="0" applyFont="1" applyFill="1" applyBorder="1" applyAlignment="1" applyProtection="1">
      <alignment horizontal="center" vertical="center" textRotation="255"/>
      <protection hidden="1"/>
    </xf>
    <xf numFmtId="0" fontId="58" fillId="24" borderId="4" xfId="0" applyFont="1" applyFill="1" applyBorder="1" applyAlignment="1" applyProtection="1">
      <alignment horizontal="center" vertical="center" textRotation="255"/>
      <protection hidden="1"/>
    </xf>
    <xf numFmtId="0" fontId="58" fillId="24" borderId="6" xfId="0" applyFont="1" applyFill="1" applyBorder="1" applyAlignment="1" applyProtection="1">
      <alignment horizontal="center" vertical="center" textRotation="255"/>
      <protection hidden="1"/>
    </xf>
    <xf numFmtId="0" fontId="5" fillId="2" borderId="13" xfId="0" applyFont="1" applyFill="1" applyBorder="1" applyAlignment="1" applyProtection="1">
      <alignment horizontal="left" vertical="center" shrinkToFit="1"/>
      <protection locked="0" hidden="1"/>
    </xf>
    <xf numFmtId="0" fontId="5" fillId="2" borderId="10" xfId="0" applyFont="1" applyFill="1" applyBorder="1" applyAlignment="1" applyProtection="1">
      <alignment horizontal="left" vertical="center" shrinkToFit="1"/>
      <protection locked="0" hidden="1"/>
    </xf>
    <xf numFmtId="0" fontId="55" fillId="0" borderId="0" xfId="9" applyFont="1" applyFill="1" applyAlignment="1" applyProtection="1">
      <alignment horizontal="right" vertical="center"/>
      <protection locked="0" hidden="1"/>
    </xf>
    <xf numFmtId="49" fontId="5" fillId="2" borderId="8" xfId="0" applyNumberFormat="1" applyFont="1" applyFill="1" applyBorder="1" applyAlignment="1" applyProtection="1">
      <alignment horizontal="left" vertical="center" shrinkToFit="1"/>
      <protection locked="0" hidden="1"/>
    </xf>
    <xf numFmtId="49" fontId="5" fillId="2" borderId="15" xfId="0" applyNumberFormat="1" applyFont="1" applyFill="1" applyBorder="1" applyAlignment="1" applyProtection="1">
      <alignment horizontal="left" vertical="center" shrinkToFit="1"/>
      <protection locked="0" hidden="1"/>
    </xf>
    <xf numFmtId="49" fontId="5" fillId="2" borderId="9" xfId="0" applyNumberFormat="1" applyFont="1" applyFill="1" applyBorder="1" applyAlignment="1" applyProtection="1">
      <alignment horizontal="left" vertical="center" shrinkToFit="1"/>
      <protection locked="0" hidden="1"/>
    </xf>
    <xf numFmtId="0" fontId="5" fillId="2" borderId="8" xfId="0" applyFont="1" applyFill="1" applyBorder="1" applyAlignment="1" applyProtection="1">
      <alignment horizontal="left" vertical="center" shrinkToFit="1"/>
      <protection locked="0" hidden="1"/>
    </xf>
    <xf numFmtId="0" fontId="53" fillId="0" borderId="15" xfId="0" applyFont="1" applyBorder="1" applyAlignment="1">
      <alignment horizontal="left" vertical="center" indent="2"/>
    </xf>
    <xf numFmtId="0" fontId="34" fillId="10" borderId="2" xfId="0" applyFont="1" applyFill="1" applyBorder="1" applyAlignment="1" applyProtection="1">
      <alignment horizontal="center" vertical="center"/>
      <protection hidden="1"/>
    </xf>
    <xf numFmtId="0" fontId="34" fillId="10" borderId="50" xfId="0" applyFont="1" applyFill="1" applyBorder="1" applyAlignment="1" applyProtection="1">
      <alignment horizontal="center" vertical="center"/>
      <protection hidden="1"/>
    </xf>
    <xf numFmtId="0" fontId="34" fillId="10" borderId="3" xfId="0" applyFont="1" applyFill="1" applyBorder="1" applyAlignment="1" applyProtection="1">
      <alignment horizontal="center" vertical="center"/>
      <protection hidden="1"/>
    </xf>
    <xf numFmtId="0" fontId="34" fillId="10" borderId="6" xfId="0" applyFont="1" applyFill="1" applyBorder="1" applyAlignment="1" applyProtection="1">
      <alignment horizontal="center" vertical="center"/>
      <protection hidden="1"/>
    </xf>
    <xf numFmtId="0" fontId="34" fillId="10" borderId="17" xfId="0" applyFont="1" applyFill="1" applyBorder="1" applyAlignment="1" applyProtection="1">
      <alignment horizontal="center" vertical="center"/>
      <protection hidden="1"/>
    </xf>
    <xf numFmtId="0" fontId="34" fillId="10" borderId="7" xfId="0" applyFont="1" applyFill="1" applyBorder="1" applyAlignment="1" applyProtection="1">
      <alignment horizontal="center" vertical="center"/>
      <protection hidden="1"/>
    </xf>
    <xf numFmtId="0" fontId="18" fillId="0" borderId="8"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5" fillId="2" borderId="8"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0" fillId="0" borderId="11" xfId="0" applyFont="1" applyBorder="1" applyAlignment="1" applyProtection="1">
      <alignment horizontal="center" vertical="center"/>
      <protection hidden="1"/>
    </xf>
    <xf numFmtId="193" fontId="50" fillId="0" borderId="6" xfId="0" applyNumberFormat="1" applyFont="1" applyBorder="1" applyAlignment="1" applyProtection="1">
      <alignment horizontal="center" vertical="center"/>
      <protection hidden="1"/>
    </xf>
    <xf numFmtId="193" fontId="50" fillId="0" borderId="7" xfId="0" applyNumberFormat="1" applyFont="1" applyBorder="1" applyAlignment="1" applyProtection="1">
      <alignment horizontal="center" vertical="center"/>
      <protection hidden="1"/>
    </xf>
    <xf numFmtId="0" fontId="14" fillId="2" borderId="8" xfId="0" applyFont="1" applyFill="1" applyBorder="1" applyAlignment="1" applyProtection="1">
      <alignment vertical="center" shrinkToFit="1"/>
      <protection locked="0" hidden="1"/>
    </xf>
    <xf numFmtId="0" fontId="14" fillId="2" borderId="15" xfId="0" applyFont="1" applyFill="1" applyBorder="1" applyAlignment="1" applyProtection="1">
      <alignment vertical="center" shrinkToFit="1"/>
      <protection locked="0" hidden="1"/>
    </xf>
    <xf numFmtId="0" fontId="14" fillId="2" borderId="9" xfId="0" applyFont="1" applyFill="1" applyBorder="1" applyAlignment="1" applyProtection="1">
      <alignment vertical="center" shrinkToFit="1"/>
      <protection locked="0" hidden="1"/>
    </xf>
    <xf numFmtId="0" fontId="5" fillId="2" borderId="1" xfId="0" applyFont="1" applyFill="1" applyBorder="1" applyAlignment="1" applyProtection="1">
      <alignment vertical="center"/>
      <protection locked="0" hidden="1"/>
    </xf>
    <xf numFmtId="0" fontId="55" fillId="0" borderId="0" xfId="9" applyFont="1" applyAlignment="1" applyProtection="1">
      <alignment horizontal="right" vertical="center"/>
      <protection locked="0" hidden="1"/>
    </xf>
    <xf numFmtId="0" fontId="56" fillId="0" borderId="0" xfId="9" applyFont="1" applyAlignment="1" applyProtection="1">
      <alignment horizontal="right" vertical="center"/>
      <protection locked="0" hidden="1"/>
    </xf>
    <xf numFmtId="0" fontId="50" fillId="24" borderId="52" xfId="0" applyFont="1" applyFill="1" applyBorder="1" applyAlignment="1" applyProtection="1">
      <alignment horizontal="center" vertical="center"/>
      <protection hidden="1"/>
    </xf>
    <xf numFmtId="0" fontId="50" fillId="24" borderId="51" xfId="0" applyFont="1" applyFill="1" applyBorder="1" applyAlignment="1" applyProtection="1">
      <alignment horizontal="center" vertical="center"/>
      <protection hidden="1"/>
    </xf>
    <xf numFmtId="0" fontId="7" fillId="10" borderId="2" xfId="0" applyFont="1" applyFill="1" applyBorder="1" applyAlignment="1" applyProtection="1">
      <alignment horizontal="center" vertical="center"/>
      <protection hidden="1"/>
    </xf>
    <xf numFmtId="0" fontId="7" fillId="10" borderId="50"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17"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50" fillId="25" borderId="17" xfId="0" applyFont="1" applyFill="1" applyBorder="1" applyAlignment="1" applyProtection="1">
      <alignment horizontal="center" vertical="center"/>
      <protection hidden="1"/>
    </xf>
    <xf numFmtId="0" fontId="50" fillId="25" borderId="7" xfId="0" applyFont="1" applyFill="1" applyBorder="1" applyAlignment="1" applyProtection="1">
      <alignment horizontal="center" vertical="center"/>
      <protection hidden="1"/>
    </xf>
    <xf numFmtId="0" fontId="7" fillId="10" borderId="1" xfId="0" applyFont="1" applyFill="1" applyBorder="1" applyAlignment="1" applyProtection="1">
      <alignment horizontal="center" vertical="center"/>
      <protection hidden="1"/>
    </xf>
    <xf numFmtId="188" fontId="5" fillId="0" borderId="1" xfId="0" applyNumberFormat="1" applyFont="1" applyBorder="1" applyAlignment="1" applyProtection="1">
      <alignment horizontal="left" vertical="center" wrapText="1"/>
      <protection hidden="1"/>
    </xf>
    <xf numFmtId="0" fontId="5" fillId="0" borderId="1" xfId="0" applyFont="1" applyBorder="1" applyAlignment="1" applyProtection="1">
      <alignment horizontal="center" vertical="center" shrinkToFit="1"/>
      <protection hidden="1"/>
    </xf>
    <xf numFmtId="0" fontId="5" fillId="11" borderId="2"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5" fillId="11" borderId="7" xfId="0" applyFont="1" applyFill="1" applyBorder="1" applyAlignment="1" applyProtection="1">
      <alignment horizontal="center" vertical="center"/>
      <protection hidden="1"/>
    </xf>
    <xf numFmtId="0" fontId="43" fillId="15" borderId="2" xfId="0" applyFont="1" applyFill="1" applyBorder="1" applyAlignment="1" applyProtection="1">
      <alignment horizontal="left" vertical="center"/>
      <protection hidden="1"/>
    </xf>
    <xf numFmtId="0" fontId="43" fillId="15" borderId="50" xfId="0" applyFont="1" applyFill="1" applyBorder="1" applyAlignment="1" applyProtection="1">
      <alignment horizontal="left" vertical="center"/>
      <protection hidden="1"/>
    </xf>
    <xf numFmtId="0" fontId="43" fillId="15" borderId="3" xfId="0" applyFont="1" applyFill="1" applyBorder="1" applyAlignment="1" applyProtection="1">
      <alignment horizontal="left" vertical="center"/>
      <protection hidden="1"/>
    </xf>
    <xf numFmtId="0" fontId="14" fillId="0" borderId="8" xfId="0" applyFont="1" applyBorder="1" applyAlignment="1" applyProtection="1">
      <alignment horizontal="right" vertical="center"/>
      <protection hidden="1"/>
    </xf>
    <xf numFmtId="0" fontId="14" fillId="0" borderId="15" xfId="0" applyFont="1" applyBorder="1" applyAlignment="1" applyProtection="1">
      <alignment horizontal="right" vertical="center"/>
      <protection hidden="1"/>
    </xf>
    <xf numFmtId="9" fontId="5" fillId="0" borderId="15" xfId="0" applyNumberFormat="1"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180" fontId="5" fillId="0" borderId="15" xfId="0" applyNumberFormat="1" applyFont="1" applyBorder="1" applyAlignment="1" applyProtection="1">
      <alignment horizontal="center" vertical="center"/>
      <protection hidden="1"/>
    </xf>
    <xf numFmtId="0" fontId="48" fillId="11" borderId="1"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wrapText="1"/>
      <protection hidden="1"/>
    </xf>
    <xf numFmtId="0" fontId="43" fillId="15" borderId="6" xfId="0" applyFont="1" applyFill="1" applyBorder="1" applyAlignment="1" applyProtection="1">
      <alignment horizontal="center" vertical="center"/>
      <protection hidden="1"/>
    </xf>
    <xf numFmtId="0" fontId="43" fillId="15" borderId="17" xfId="0" applyFont="1" applyFill="1" applyBorder="1" applyAlignment="1" applyProtection="1">
      <alignment horizontal="center" vertical="center"/>
      <protection hidden="1"/>
    </xf>
    <xf numFmtId="0" fontId="43" fillId="15" borderId="7" xfId="0" applyFont="1" applyFill="1" applyBorder="1" applyAlignment="1" applyProtection="1">
      <alignment horizontal="center" vertical="center"/>
      <protection hidden="1"/>
    </xf>
    <xf numFmtId="177" fontId="5" fillId="0" borderId="1" xfId="0" applyNumberFormat="1" applyFont="1" applyBorder="1" applyAlignment="1" applyProtection="1">
      <alignment horizontal="right" vertical="center"/>
      <protection hidden="1"/>
    </xf>
    <xf numFmtId="177" fontId="5" fillId="0" borderId="8" xfId="0" applyNumberFormat="1" applyFont="1" applyBorder="1" applyAlignment="1" applyProtection="1">
      <alignment horizontal="right" vertical="center"/>
      <protection hidden="1"/>
    </xf>
    <xf numFmtId="0" fontId="43" fillId="15" borderId="15" xfId="0" applyFont="1" applyFill="1" applyBorder="1" applyAlignment="1" applyProtection="1">
      <alignment horizontal="left" vertical="center"/>
      <protection hidden="1"/>
    </xf>
    <xf numFmtId="0" fontId="43" fillId="15" borderId="9" xfId="0" applyFont="1" applyFill="1" applyBorder="1" applyAlignment="1" applyProtection="1">
      <alignment horizontal="left" vertical="center"/>
      <protection hidden="1"/>
    </xf>
    <xf numFmtId="0" fontId="43" fillId="16" borderId="1" xfId="0" applyFont="1" applyFill="1" applyBorder="1" applyAlignment="1" applyProtection="1">
      <alignment horizontal="center" vertical="center"/>
      <protection hidden="1"/>
    </xf>
    <xf numFmtId="0" fontId="5" fillId="17" borderId="1" xfId="0" applyFont="1" applyFill="1" applyBorder="1" applyAlignment="1" applyProtection="1">
      <alignment horizontal="center" vertical="center"/>
      <protection hidden="1"/>
    </xf>
    <xf numFmtId="188" fontId="13" fillId="0" borderId="8" xfId="0" applyNumberFormat="1" applyFont="1" applyBorder="1" applyAlignment="1" applyProtection="1">
      <alignment vertical="center" wrapText="1"/>
      <protection hidden="1"/>
    </xf>
    <xf numFmtId="188" fontId="13" fillId="0" borderId="15" xfId="0" applyNumberFormat="1" applyFont="1" applyBorder="1" applyAlignment="1" applyProtection="1">
      <alignment vertical="center" wrapText="1"/>
      <protection hidden="1"/>
    </xf>
    <xf numFmtId="188" fontId="13" fillId="0" borderId="17" xfId="0" applyNumberFormat="1" applyFont="1" applyBorder="1" applyAlignment="1" applyProtection="1">
      <alignment vertical="center" wrapText="1"/>
      <protection hidden="1"/>
    </xf>
    <xf numFmtId="188" fontId="13" fillId="0" borderId="7" xfId="0" applyNumberFormat="1" applyFont="1" applyBorder="1" applyAlignment="1" applyProtection="1">
      <alignment vertical="center" wrapText="1"/>
      <protection hidden="1"/>
    </xf>
    <xf numFmtId="0" fontId="43" fillId="15" borderId="2" xfId="0" applyFont="1" applyFill="1" applyBorder="1" applyAlignment="1" applyProtection="1">
      <alignment horizontal="center" vertical="center"/>
      <protection hidden="1"/>
    </xf>
    <xf numFmtId="0" fontId="43" fillId="15" borderId="50" xfId="0" applyFont="1" applyFill="1" applyBorder="1" applyAlignment="1" applyProtection="1">
      <alignment horizontal="center" vertical="center"/>
      <protection hidden="1"/>
    </xf>
    <xf numFmtId="0" fontId="43" fillId="15" borderId="3" xfId="0" applyFont="1" applyFill="1" applyBorder="1" applyAlignment="1" applyProtection="1">
      <alignment horizontal="center" vertical="center"/>
      <protection hidden="1"/>
    </xf>
    <xf numFmtId="0" fontId="43" fillId="15" borderId="4" xfId="0" applyFont="1" applyFill="1" applyBorder="1" applyAlignment="1" applyProtection="1">
      <alignment horizontal="center" vertical="center"/>
      <protection hidden="1"/>
    </xf>
    <xf numFmtId="0" fontId="43" fillId="15" borderId="0" xfId="0" applyFont="1" applyFill="1" applyAlignment="1" applyProtection="1">
      <alignment horizontal="center" vertical="center"/>
      <protection hidden="1"/>
    </xf>
    <xf numFmtId="0" fontId="43" fillId="15" borderId="5" xfId="0" applyFont="1" applyFill="1" applyBorder="1" applyAlignment="1" applyProtection="1">
      <alignment horizontal="center" vertical="center"/>
      <protection hidden="1"/>
    </xf>
    <xf numFmtId="0" fontId="43" fillId="15" borderId="1" xfId="0" applyFont="1" applyFill="1" applyBorder="1" applyAlignment="1" applyProtection="1">
      <alignment horizontal="center" vertical="center"/>
      <protection hidden="1"/>
    </xf>
    <xf numFmtId="188" fontId="13" fillId="0" borderId="6" xfId="0" applyNumberFormat="1"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18" fillId="9" borderId="8" xfId="0" applyFont="1" applyFill="1" applyBorder="1" applyAlignment="1" applyProtection="1">
      <alignment horizontal="center" vertical="center"/>
      <protection locked="0"/>
    </xf>
    <xf numFmtId="0" fontId="18" fillId="9" borderId="15" xfId="0" applyFont="1" applyFill="1" applyBorder="1" applyAlignment="1" applyProtection="1">
      <alignment horizontal="center" vertical="center"/>
      <protection locked="0"/>
    </xf>
    <xf numFmtId="0" fontId="18" fillId="9" borderId="9" xfId="0" applyFont="1" applyFill="1" applyBorder="1" applyAlignment="1" applyProtection="1">
      <alignment horizontal="center" vertical="center"/>
      <protection locked="0"/>
    </xf>
    <xf numFmtId="0" fontId="43" fillId="15" borderId="8" xfId="0" applyFont="1" applyFill="1" applyBorder="1" applyAlignment="1" applyProtection="1">
      <alignment horizontal="distributed" vertical="center"/>
      <protection hidden="1"/>
    </xf>
    <xf numFmtId="0" fontId="43" fillId="15" borderId="15" xfId="0" applyFont="1" applyFill="1" applyBorder="1" applyAlignment="1" applyProtection="1">
      <alignment horizontal="distributed" vertical="center"/>
      <protection hidden="1"/>
    </xf>
    <xf numFmtId="0" fontId="43" fillId="15" borderId="9" xfId="0" applyFont="1" applyFill="1" applyBorder="1" applyAlignment="1" applyProtection="1">
      <alignment horizontal="distributed" vertical="center"/>
      <protection hidden="1"/>
    </xf>
    <xf numFmtId="0" fontId="14" fillId="0" borderId="1" xfId="0" applyFont="1" applyBorder="1" applyAlignment="1" applyProtection="1">
      <alignment vertical="center"/>
      <protection hidden="1"/>
    </xf>
    <xf numFmtId="0" fontId="13" fillId="11" borderId="1" xfId="10" applyFont="1" applyFill="1" applyBorder="1" applyAlignment="1" applyProtection="1">
      <alignment horizontal="center" vertical="center"/>
      <protection hidden="1"/>
    </xf>
    <xf numFmtId="0" fontId="13" fillId="11" borderId="1" xfId="10" applyFont="1" applyFill="1" applyBorder="1" applyProtection="1">
      <alignment vertical="center"/>
      <protection hidden="1"/>
    </xf>
    <xf numFmtId="0" fontId="13" fillId="11" borderId="14" xfId="10" applyFont="1" applyFill="1" applyBorder="1" applyAlignment="1" applyProtection="1">
      <alignment horizontal="center" vertical="center"/>
      <protection hidden="1"/>
    </xf>
    <xf numFmtId="0" fontId="13" fillId="11" borderId="11" xfId="10" applyFont="1" applyFill="1" applyBorder="1" applyAlignment="1" applyProtection="1">
      <alignment horizontal="center" vertical="center"/>
      <protection hidden="1"/>
    </xf>
    <xf numFmtId="0" fontId="17" fillId="0" borderId="59" xfId="10" applyFont="1" applyBorder="1" applyAlignment="1" applyProtection="1">
      <alignment horizontal="center" vertical="center"/>
      <protection hidden="1"/>
    </xf>
    <xf numFmtId="0" fontId="13" fillId="18" borderId="1" xfId="10" applyFont="1" applyFill="1" applyBorder="1" applyAlignment="1" applyProtection="1">
      <alignment horizontal="center" vertical="center"/>
      <protection hidden="1"/>
    </xf>
    <xf numFmtId="0" fontId="13" fillId="11" borderId="8" xfId="10" applyFont="1" applyFill="1" applyBorder="1" applyAlignment="1" applyProtection="1">
      <alignment horizontal="center" vertical="center"/>
      <protection hidden="1"/>
    </xf>
    <xf numFmtId="0" fontId="13" fillId="11" borderId="15" xfId="10" applyFont="1" applyFill="1" applyBorder="1" applyAlignment="1" applyProtection="1">
      <alignment horizontal="center" vertical="center"/>
      <protection hidden="1"/>
    </xf>
    <xf numFmtId="0" fontId="13" fillId="11" borderId="9" xfId="10" applyFont="1" applyFill="1" applyBorder="1" applyAlignment="1" applyProtection="1">
      <alignment horizontal="center" vertical="center"/>
      <protection hidden="1"/>
    </xf>
    <xf numFmtId="0" fontId="13" fillId="11" borderId="1" xfId="10" applyFont="1" applyFill="1" applyBorder="1" applyAlignment="1" applyProtection="1">
      <alignment horizontal="center" vertical="top" wrapText="1"/>
      <protection hidden="1"/>
    </xf>
    <xf numFmtId="0" fontId="13" fillId="11" borderId="1" xfId="10" applyFont="1" applyFill="1" applyBorder="1" applyAlignment="1" applyProtection="1">
      <alignment horizontal="center" vertical="top"/>
      <protection hidden="1"/>
    </xf>
    <xf numFmtId="0" fontId="13" fillId="11" borderId="14" xfId="10" applyFont="1" applyFill="1" applyBorder="1" applyAlignment="1" applyProtection="1">
      <alignment horizontal="center" vertical="top"/>
      <protection hidden="1"/>
    </xf>
    <xf numFmtId="0" fontId="13" fillId="11" borderId="8" xfId="10" applyFont="1" applyFill="1" applyBorder="1" applyAlignment="1" applyProtection="1">
      <alignment horizontal="center" vertical="top" wrapText="1"/>
      <protection hidden="1"/>
    </xf>
    <xf numFmtId="0" fontId="13" fillId="11" borderId="15" xfId="10" applyFont="1" applyFill="1" applyBorder="1" applyAlignment="1" applyProtection="1">
      <alignment horizontal="center" vertical="top"/>
      <protection hidden="1"/>
    </xf>
    <xf numFmtId="0" fontId="13" fillId="11" borderId="9" xfId="10" applyFont="1" applyFill="1" applyBorder="1" applyAlignment="1" applyProtection="1">
      <alignment horizontal="center" vertical="top"/>
      <protection hidden="1"/>
    </xf>
    <xf numFmtId="0" fontId="13" fillId="18" borderId="6" xfId="10" applyFont="1" applyFill="1" applyBorder="1" applyAlignment="1" applyProtection="1">
      <alignment horizontal="center" vertical="center"/>
      <protection hidden="1"/>
    </xf>
    <xf numFmtId="0" fontId="13" fillId="18" borderId="17" xfId="10" applyFont="1" applyFill="1" applyBorder="1" applyAlignment="1" applyProtection="1">
      <alignment horizontal="center" vertical="center"/>
      <protection hidden="1"/>
    </xf>
    <xf numFmtId="0" fontId="13" fillId="18" borderId="7" xfId="10" applyFont="1" applyFill="1" applyBorder="1" applyAlignment="1" applyProtection="1">
      <alignment horizontal="center" vertical="center"/>
      <protection hidden="1"/>
    </xf>
    <xf numFmtId="0" fontId="13" fillId="18" borderId="8" xfId="10" applyFont="1" applyFill="1" applyBorder="1" applyAlignment="1" applyProtection="1">
      <alignment horizontal="center" vertical="center"/>
      <protection hidden="1"/>
    </xf>
    <xf numFmtId="0" fontId="13" fillId="18" borderId="15" xfId="10" applyFont="1" applyFill="1" applyBorder="1" applyAlignment="1" applyProtection="1">
      <alignment horizontal="center" vertical="center"/>
      <protection hidden="1"/>
    </xf>
    <xf numFmtId="0" fontId="13" fillId="18" borderId="9" xfId="10" applyFont="1" applyFill="1" applyBorder="1" applyAlignment="1" applyProtection="1">
      <alignment horizontal="center" vertical="center"/>
      <protection hidden="1"/>
    </xf>
    <xf numFmtId="0" fontId="13" fillId="18" borderId="8" xfId="10" applyFont="1" applyFill="1" applyBorder="1" applyAlignment="1" applyProtection="1">
      <alignment horizontal="left" vertical="center" indent="1"/>
      <protection hidden="1"/>
    </xf>
    <xf numFmtId="0" fontId="13" fillId="18" borderId="9" xfId="10" applyFont="1" applyFill="1" applyBorder="1" applyAlignment="1" applyProtection="1">
      <alignment horizontal="left" vertical="center" indent="1"/>
      <protection hidden="1"/>
    </xf>
    <xf numFmtId="0" fontId="13" fillId="18" borderId="14" xfId="10" applyFont="1" applyFill="1" applyBorder="1" applyAlignment="1" applyProtection="1">
      <alignment horizontal="center" vertical="center"/>
      <protection hidden="1"/>
    </xf>
    <xf numFmtId="0" fontId="13" fillId="18" borderId="56" xfId="10" applyFont="1" applyFill="1" applyBorder="1" applyAlignment="1" applyProtection="1">
      <alignment horizontal="center" vertical="center"/>
      <protection hidden="1"/>
    </xf>
    <xf numFmtId="0" fontId="13" fillId="18" borderId="12" xfId="10" applyFont="1" applyFill="1" applyBorder="1" applyAlignment="1" applyProtection="1">
      <alignment horizontal="left" vertical="center" indent="1"/>
      <protection hidden="1"/>
    </xf>
    <xf numFmtId="0" fontId="13" fillId="18" borderId="13" xfId="10" applyFont="1" applyFill="1" applyBorder="1" applyAlignment="1" applyProtection="1">
      <alignment horizontal="left" vertical="center" indent="1"/>
      <protection hidden="1"/>
    </xf>
    <xf numFmtId="0" fontId="5" fillId="0" borderId="8" xfId="0" applyFont="1" applyBorder="1" applyAlignment="1" applyProtection="1">
      <alignment horizontal="left" vertical="center"/>
      <protection hidden="1"/>
    </xf>
    <xf numFmtId="0" fontId="47" fillId="23" borderId="1" xfId="0" applyFont="1" applyFill="1" applyBorder="1" applyAlignment="1" applyProtection="1">
      <alignment horizontal="center" vertical="center"/>
      <protection hidden="1"/>
    </xf>
    <xf numFmtId="0" fontId="47" fillId="20" borderId="1" xfId="0" applyFont="1" applyFill="1" applyBorder="1" applyAlignment="1" applyProtection="1">
      <alignment horizontal="center" vertical="center"/>
      <protection hidden="1"/>
    </xf>
    <xf numFmtId="0" fontId="5" fillId="0" borderId="0" xfId="4" applyFont="1" applyAlignment="1" applyProtection="1">
      <alignment horizontal="center" vertical="center"/>
      <protection hidden="1"/>
    </xf>
    <xf numFmtId="0" fontId="5" fillId="6" borderId="35" xfId="4" applyFont="1" applyFill="1" applyBorder="1" applyAlignment="1" applyProtection="1">
      <alignment horizontal="center" vertical="center" wrapText="1"/>
      <protection hidden="1"/>
    </xf>
    <xf numFmtId="0" fontId="5" fillId="6" borderId="37" xfId="4" applyFont="1" applyFill="1" applyBorder="1" applyAlignment="1" applyProtection="1">
      <alignment horizontal="center" vertical="center" wrapText="1"/>
      <protection hidden="1"/>
    </xf>
    <xf numFmtId="0" fontId="5" fillId="6" borderId="34" xfId="4" applyFont="1" applyFill="1" applyBorder="1" applyAlignment="1" applyProtection="1">
      <alignment horizontal="center" vertical="center" wrapText="1"/>
      <protection hidden="1"/>
    </xf>
    <xf numFmtId="0" fontId="5" fillId="6" borderId="31" xfId="4" applyFont="1" applyFill="1" applyBorder="1" applyAlignment="1" applyProtection="1">
      <alignment horizontal="center" vertical="center"/>
      <protection hidden="1"/>
    </xf>
    <xf numFmtId="0" fontId="5" fillId="6" borderId="36" xfId="4" applyFont="1" applyFill="1" applyBorder="1" applyAlignment="1" applyProtection="1">
      <alignment horizontal="center" vertical="center"/>
      <protection hidden="1"/>
    </xf>
    <xf numFmtId="0" fontId="5" fillId="6" borderId="33" xfId="4" applyFont="1" applyFill="1" applyBorder="1" applyAlignment="1" applyProtection="1">
      <alignment horizontal="center" vertical="center"/>
      <protection hidden="1"/>
    </xf>
    <xf numFmtId="0" fontId="17" fillId="6" borderId="34" xfId="3" applyFont="1" applyFill="1" applyBorder="1" applyAlignment="1" applyProtection="1">
      <alignment horizontal="center" vertical="center"/>
      <protection hidden="1"/>
    </xf>
    <xf numFmtId="0" fontId="17" fillId="6" borderId="35" xfId="3" applyFont="1" applyFill="1" applyBorder="1" applyAlignment="1" applyProtection="1">
      <alignment horizontal="center" vertical="center"/>
      <protection hidden="1"/>
    </xf>
    <xf numFmtId="0" fontId="17" fillId="6" borderId="37" xfId="3" applyFont="1" applyFill="1" applyBorder="1" applyAlignment="1" applyProtection="1">
      <alignment horizontal="center" vertical="center"/>
      <protection hidden="1"/>
    </xf>
    <xf numFmtId="38" fontId="5" fillId="2" borderId="14" xfId="7" applyFont="1" applyFill="1" applyBorder="1" applyAlignment="1" applyProtection="1">
      <alignment horizontal="center" vertical="center"/>
      <protection hidden="1"/>
    </xf>
    <xf numFmtId="38" fontId="5" fillId="2" borderId="16" xfId="7" applyFont="1" applyFill="1" applyBorder="1" applyAlignment="1" applyProtection="1">
      <alignment horizontal="center" vertical="center"/>
      <protection hidden="1"/>
    </xf>
    <xf numFmtId="38" fontId="5" fillId="2" borderId="11" xfId="7" applyFont="1" applyFill="1" applyBorder="1" applyAlignment="1" applyProtection="1">
      <alignment horizontal="center" vertical="center"/>
      <protection hidden="1"/>
    </xf>
    <xf numFmtId="38" fontId="5" fillId="9" borderId="14" xfId="7" applyFont="1" applyFill="1" applyBorder="1" applyAlignment="1" applyProtection="1">
      <alignment horizontal="center" vertical="center" wrapText="1"/>
      <protection hidden="1"/>
    </xf>
    <xf numFmtId="38" fontId="5" fillId="9" borderId="16" xfId="7" applyFont="1" applyFill="1" applyBorder="1" applyAlignment="1" applyProtection="1">
      <alignment horizontal="center" vertical="center" wrapText="1"/>
      <protection hidden="1"/>
    </xf>
    <xf numFmtId="38" fontId="5" fillId="9" borderId="11" xfId="7" applyFont="1" applyFill="1" applyBorder="1" applyAlignment="1" applyProtection="1">
      <alignment horizontal="center" vertical="center" wrapText="1"/>
      <protection hidden="1"/>
    </xf>
    <xf numFmtId="0" fontId="5" fillId="6" borderId="36" xfId="4" applyFont="1" applyFill="1" applyBorder="1" applyAlignment="1" applyProtection="1">
      <alignment horizontal="center" vertical="center" wrapText="1"/>
      <protection hidden="1"/>
    </xf>
    <xf numFmtId="0" fontId="5" fillId="6" borderId="33" xfId="4" applyFont="1" applyFill="1" applyBorder="1" applyAlignment="1" applyProtection="1">
      <alignment horizontal="center" vertical="center" wrapText="1"/>
      <protection hidden="1"/>
    </xf>
    <xf numFmtId="0" fontId="5" fillId="6" borderId="48" xfId="4" applyFont="1" applyFill="1" applyBorder="1" applyAlignment="1" applyProtection="1">
      <alignment horizontal="center" vertical="center"/>
      <protection hidden="1"/>
    </xf>
    <xf numFmtId="0" fontId="5" fillId="6" borderId="34" xfId="4" applyFont="1" applyFill="1" applyBorder="1" applyProtection="1">
      <alignment vertical="center"/>
      <protection hidden="1"/>
    </xf>
    <xf numFmtId="0" fontId="5" fillId="6" borderId="46" xfId="4" applyFont="1" applyFill="1" applyBorder="1" applyProtection="1">
      <alignment vertical="center"/>
      <protection hidden="1"/>
    </xf>
    <xf numFmtId="0" fontId="5" fillId="8" borderId="2" xfId="4" applyFont="1" applyFill="1" applyBorder="1" applyAlignment="1" applyProtection="1">
      <alignment horizontal="center" vertical="center" wrapText="1"/>
      <protection hidden="1"/>
    </xf>
    <xf numFmtId="0" fontId="5" fillId="8" borderId="4" xfId="4" applyFont="1" applyFill="1" applyBorder="1" applyAlignment="1" applyProtection="1">
      <alignment horizontal="center" vertical="center" wrapText="1"/>
      <protection hidden="1"/>
    </xf>
    <xf numFmtId="0" fontId="5" fillId="8" borderId="6" xfId="4" applyFont="1" applyFill="1" applyBorder="1" applyAlignment="1" applyProtection="1">
      <alignment horizontal="center" vertical="center" wrapText="1"/>
      <protection hidden="1"/>
    </xf>
    <xf numFmtId="38" fontId="5" fillId="6" borderId="29" xfId="7" applyFont="1" applyFill="1" applyBorder="1" applyAlignment="1" applyProtection="1">
      <alignment horizontal="center" vertical="center" wrapText="1"/>
      <protection hidden="1"/>
    </xf>
    <xf numFmtId="38" fontId="5" fillId="6" borderId="32" xfId="7" applyFont="1" applyFill="1" applyBorder="1" applyAlignment="1" applyProtection="1">
      <alignment horizontal="center" vertical="center" wrapText="1"/>
      <protection hidden="1"/>
    </xf>
    <xf numFmtId="0" fontId="5" fillId="7" borderId="2" xfId="4" applyFont="1" applyFill="1" applyBorder="1" applyAlignment="1" applyProtection="1">
      <alignment horizontal="center" vertical="center" wrapText="1"/>
      <protection hidden="1"/>
    </xf>
    <xf numFmtId="0" fontId="5" fillId="7" borderId="4" xfId="4" applyFont="1" applyFill="1" applyBorder="1" applyAlignment="1" applyProtection="1">
      <alignment horizontal="center" vertical="center" wrapText="1"/>
      <protection hidden="1"/>
    </xf>
    <xf numFmtId="0" fontId="5" fillId="7" borderId="6" xfId="4" applyFont="1" applyFill="1" applyBorder="1" applyAlignment="1" applyProtection="1">
      <alignment horizontal="center" vertical="center" wrapText="1"/>
      <protection hidden="1"/>
    </xf>
    <xf numFmtId="0" fontId="17" fillId="6" borderId="31" xfId="3" applyFont="1" applyFill="1" applyBorder="1" applyAlignment="1" applyProtection="1">
      <alignment horizontal="center" vertical="center" wrapText="1"/>
      <protection hidden="1"/>
    </xf>
    <xf numFmtId="0" fontId="17" fillId="6" borderId="33" xfId="3" applyFont="1" applyFill="1" applyBorder="1" applyAlignment="1" applyProtection="1">
      <alignment horizontal="center" vertical="center" wrapText="1"/>
      <protection hidden="1"/>
    </xf>
    <xf numFmtId="0" fontId="17" fillId="6" borderId="31" xfId="3" applyFont="1" applyFill="1" applyBorder="1" applyAlignment="1" applyProtection="1">
      <alignment horizontal="center" vertical="center"/>
      <protection hidden="1"/>
    </xf>
    <xf numFmtId="0" fontId="17" fillId="6" borderId="36" xfId="3" applyFont="1" applyFill="1" applyBorder="1" applyAlignment="1" applyProtection="1">
      <alignment horizontal="center" vertical="center"/>
      <protection hidden="1"/>
    </xf>
    <xf numFmtId="0" fontId="17" fillId="6" borderId="33" xfId="3" applyFont="1" applyFill="1" applyBorder="1" applyAlignment="1" applyProtection="1">
      <alignment horizontal="center" vertical="center"/>
      <protection hidden="1"/>
    </xf>
  </cellXfs>
  <cellStyles count="11">
    <cellStyle name="パーセント" xfId="8" builtinId="5"/>
    <cellStyle name="ハイパーリンク" xfId="9" builtinId="8"/>
    <cellStyle name="桁区切り" xfId="2" builtinId="6"/>
    <cellStyle name="桁区切り 2" xfId="7" xr:uid="{652C5E64-C078-410C-99EB-2BE0526D299F}"/>
    <cellStyle name="標準" xfId="0" builtinId="0"/>
    <cellStyle name="標準 2" xfId="1" xr:uid="{C87B25FC-CA4A-4E85-BBAA-25F13CE2F227}"/>
    <cellStyle name="標準 2 2" xfId="3" xr:uid="{0D92A401-C415-41D8-B9E4-F88FB12D478C}"/>
    <cellStyle name="標準 2 3" xfId="6" xr:uid="{971BC64B-3BEF-481C-B2F7-42BFED1BF497}"/>
    <cellStyle name="標準 3" xfId="4" xr:uid="{0AD79F85-0021-4308-8C3B-CBC5AD54432D}"/>
    <cellStyle name="標準 3 2" xfId="5" xr:uid="{15AA3B1D-005D-45AA-B6D4-D3D073C2220D}"/>
    <cellStyle name="標準 4" xfId="10" xr:uid="{7CD36698-5C4B-4902-9129-15111C3141E5}"/>
  </cellStyles>
  <dxfs count="130">
    <dxf>
      <font>
        <color auto="1"/>
      </font>
      <fill>
        <patternFill>
          <bgColor theme="1" tint="0.499984740745262"/>
        </patternFill>
      </fill>
    </dxf>
    <dxf>
      <font>
        <b/>
        <i val="0"/>
        <color theme="5"/>
      </font>
      <border>
        <vertical/>
        <horizontal/>
      </border>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left/>
        <right/>
        <top/>
        <bottom/>
        <vertical/>
        <horizontal/>
      </border>
    </dxf>
    <dxf>
      <border>
        <bottom style="thin">
          <color auto="1"/>
        </bottom>
        <vertical/>
        <horizontal/>
      </border>
    </dxf>
    <dxf>
      <font>
        <color theme="0"/>
      </font>
      <fill>
        <patternFill patternType="none">
          <bgColor auto="1"/>
        </patternFill>
      </fill>
      <border>
        <left/>
        <right/>
        <top/>
        <bottom/>
        <vertical/>
        <horizontal/>
      </border>
    </dxf>
    <dxf>
      <border>
        <bottom style="thin">
          <color auto="1"/>
        </bottom>
        <vertical/>
        <horizontal/>
      </border>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ill>
        <patternFill patternType="none">
          <bgColor auto="1"/>
        </patternFill>
      </fill>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color rgb="FFFF0000"/>
      </font>
    </dxf>
    <dxf>
      <font>
        <b/>
        <i val="0"/>
        <u/>
      </font>
    </dxf>
    <dxf>
      <font>
        <color rgb="FFFF0000"/>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ont>
        <color theme="0" tint="-0.499984740745262"/>
      </font>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u/>
      </font>
    </dxf>
    <dxf>
      <font>
        <b/>
        <i val="0"/>
        <u/>
      </font>
    </dxf>
    <dxf>
      <font>
        <b/>
        <i val="0"/>
        <u/>
      </font>
    </dxf>
    <dxf>
      <font>
        <color theme="1" tint="0.499984740745262"/>
      </font>
      <fill>
        <patternFill>
          <bgColor theme="1" tint="0.499984740745262"/>
        </patternFill>
      </fill>
    </dxf>
    <dxf>
      <font>
        <color theme="1" tint="0.499984740745262"/>
      </font>
      <fill>
        <patternFill>
          <bgColor theme="1" tint="0.499984740745262"/>
        </patternFill>
      </fill>
    </dxf>
    <dxf>
      <font>
        <b/>
        <i val="0"/>
        <u/>
      </font>
    </dxf>
    <dxf>
      <font>
        <b/>
        <i val="0"/>
        <u/>
      </font>
    </dxf>
    <dxf>
      <font>
        <b/>
        <i val="0"/>
        <u/>
      </font>
    </dxf>
    <dxf>
      <font>
        <b/>
        <i val="0"/>
        <u/>
      </font>
    </dxf>
    <dxf>
      <font>
        <b/>
        <i val="0"/>
        <u/>
      </font>
    </dxf>
    <dxf>
      <fill>
        <patternFill patternType="none">
          <bgColor auto="1"/>
        </patternFill>
      </fill>
    </dxf>
    <dxf>
      <font>
        <b/>
        <i val="0"/>
        <u/>
      </font>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ECECEC"/>
      <color rgb="FF16D8C1"/>
      <color rgb="FF17E3CB"/>
      <color rgb="FF20E8D0"/>
      <color rgb="FF1CE8D0"/>
      <color rgb="FFFF0066"/>
      <color rgb="FF20B2AA"/>
      <color rgb="FFA4F6EC"/>
      <color rgb="FF15D1BB"/>
      <color rgb="FFAAF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'入力シート（2026年度提出用）'!$AU$78</c:f>
              <c:strCache>
                <c:ptCount val="1"/>
                <c:pt idx="0">
                  <c:v>ガソリン</c:v>
                </c:pt>
              </c:strCache>
            </c:strRef>
          </c:tx>
          <c:spPr>
            <a:solidFill>
              <a:schemeClr val="accent1"/>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'入力シート（2026年度提出用）'!$AV$78:$BE$78</c:f>
              <c:numCache>
                <c:formatCode>General</c:formatCode>
                <c:ptCount val="10"/>
                <c:pt idx="0" formatCode="0.0_);[Red]\(0.0\)">
                  <c:v>0</c:v>
                </c:pt>
              </c:numCache>
            </c:numRef>
          </c:val>
          <c:extLst>
            <c:ext xmlns:c16="http://schemas.microsoft.com/office/drawing/2014/chart" uri="{C3380CC4-5D6E-409C-BE32-E72D297353CC}">
              <c16:uniqueId val="{00000000-3F87-4733-86C0-3D9EC79F98F0}"/>
            </c:ext>
          </c:extLst>
        </c:ser>
        <c:ser>
          <c:idx val="1"/>
          <c:order val="1"/>
          <c:tx>
            <c:strRef>
              <c:f>'入力シート（2026年度提出用）'!$AU$79</c:f>
              <c:strCache>
                <c:ptCount val="1"/>
                <c:pt idx="0">
                  <c:v>軽油</c:v>
                </c:pt>
              </c:strCache>
            </c:strRef>
          </c:tx>
          <c:spPr>
            <a:solidFill>
              <a:schemeClr val="accent2"/>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'入力シート（2026年度提出用）'!$AV$79:$BE$79</c:f>
              <c:numCache>
                <c:formatCode>General</c:formatCode>
                <c:ptCount val="10"/>
                <c:pt idx="0" formatCode="0.0_);[Red]\(0.0\)">
                  <c:v>0</c:v>
                </c:pt>
              </c:numCache>
            </c:numRef>
          </c:val>
          <c:extLst>
            <c:ext xmlns:c16="http://schemas.microsoft.com/office/drawing/2014/chart" uri="{C3380CC4-5D6E-409C-BE32-E72D297353CC}">
              <c16:uniqueId val="{00000001-3F87-4733-86C0-3D9EC79F98F0}"/>
            </c:ext>
          </c:extLst>
        </c:ser>
        <c:ser>
          <c:idx val="2"/>
          <c:order val="2"/>
          <c:tx>
            <c:strRef>
              <c:f>'入力シート（2026年度提出用）'!$AU$80</c:f>
              <c:strCache>
                <c:ptCount val="1"/>
                <c:pt idx="0">
                  <c:v>液化石油ガス(LPG)</c:v>
                </c:pt>
              </c:strCache>
            </c:strRef>
          </c:tx>
          <c:spPr>
            <a:solidFill>
              <a:schemeClr val="accent3"/>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'入力シート（2026年度提出用）'!$AV$80:$BE$80</c:f>
              <c:numCache>
                <c:formatCode>General</c:formatCode>
                <c:ptCount val="10"/>
                <c:pt idx="0" formatCode="0.0_);[Red]\(0.0\)">
                  <c:v>0</c:v>
                </c:pt>
              </c:numCache>
            </c:numRef>
          </c:val>
          <c:extLst>
            <c:ext xmlns:c16="http://schemas.microsoft.com/office/drawing/2014/chart" uri="{C3380CC4-5D6E-409C-BE32-E72D297353CC}">
              <c16:uniqueId val="{00000002-3F87-4733-86C0-3D9EC79F98F0}"/>
            </c:ext>
          </c:extLst>
        </c:ser>
        <c:ser>
          <c:idx val="3"/>
          <c:order val="3"/>
          <c:tx>
            <c:strRef>
              <c:f>'入力シート（2026年度提出用）'!$AU$81</c:f>
              <c:strCache>
                <c:ptCount val="1"/>
                <c:pt idx="0">
                  <c:v>電気（充電）</c:v>
                </c:pt>
              </c:strCache>
            </c:strRef>
          </c:tx>
          <c:spPr>
            <a:solidFill>
              <a:schemeClr val="accent4"/>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'入力シート（2026年度提出用）'!$AV$81:$BE$81</c:f>
              <c:numCache>
                <c:formatCode>General</c:formatCode>
                <c:ptCount val="10"/>
                <c:pt idx="0" formatCode="0.0_);[Red]\(0.0\)">
                  <c:v>0</c:v>
                </c:pt>
              </c:numCache>
            </c:numRef>
          </c:val>
          <c:extLst>
            <c:ext xmlns:c16="http://schemas.microsoft.com/office/drawing/2014/chart" uri="{C3380CC4-5D6E-409C-BE32-E72D297353CC}">
              <c16:uniqueId val="{00000003-3F87-4733-86C0-3D9EC79F98F0}"/>
            </c:ext>
          </c:extLst>
        </c:ser>
        <c:ser>
          <c:idx val="4"/>
          <c:order val="4"/>
          <c:tx>
            <c:strRef>
              <c:f>'入力シート（2026年度提出用）'!$AU$82</c:f>
              <c:strCache>
                <c:ptCount val="1"/>
                <c:pt idx="0">
                  <c:v>水素</c:v>
                </c:pt>
              </c:strCache>
            </c:strRef>
          </c:tx>
          <c:spPr>
            <a:solidFill>
              <a:schemeClr val="accent5"/>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'入力シート（2026年度提出用）'!$AV$82:$BE$82</c:f>
              <c:numCache>
                <c:formatCode>General</c:formatCode>
                <c:ptCount val="10"/>
                <c:pt idx="0" formatCode="0.0_);[Red]\(0.0\)">
                  <c:v>0</c:v>
                </c:pt>
              </c:numCache>
            </c:numRef>
          </c:val>
          <c:extLst>
            <c:ext xmlns:c16="http://schemas.microsoft.com/office/drawing/2014/chart" uri="{C3380CC4-5D6E-409C-BE32-E72D297353CC}">
              <c16:uniqueId val="{00000004-3F87-4733-86C0-3D9EC79F98F0}"/>
            </c:ext>
          </c:extLst>
        </c:ser>
        <c:ser>
          <c:idx val="5"/>
          <c:order val="5"/>
          <c:tx>
            <c:strRef>
              <c:f>'入力シート（2026年度提出用）'!$AU$83</c:f>
              <c:strCache>
                <c:ptCount val="1"/>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A65-4F1A-A193-EF07E711BEA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'入力シート（2026年度提出用）'!$AV$83:$BE$83</c:f>
              <c:numCache>
                <c:formatCode>General</c:formatCode>
                <c:ptCount val="10"/>
                <c:pt idx="0" formatCode="0.0_);[Red]\(0.0\)">
                  <c:v>0</c:v>
                </c:pt>
              </c:numCache>
            </c:numRef>
          </c:val>
          <c:extLst>
            <c:ext xmlns:c16="http://schemas.microsoft.com/office/drawing/2014/chart" uri="{C3380CC4-5D6E-409C-BE32-E72D297353CC}">
              <c16:uniqueId val="{00000005-3F87-4733-86C0-3D9EC79F98F0}"/>
            </c:ext>
          </c:extLst>
        </c:ser>
        <c:ser>
          <c:idx val="6"/>
          <c:order val="6"/>
          <c:tx>
            <c:strRef>
              <c:f>'入力シート（2026年度提出用）'!$AU$84</c:f>
              <c:strCache>
                <c:ptCount val="1"/>
              </c:strCache>
            </c:strRef>
          </c:tx>
          <c:spPr>
            <a:solidFill>
              <a:schemeClr val="accent1">
                <a:lumMod val="60000"/>
              </a:schemeClr>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'入力シート（2026年度提出用）'!$AV$84:$BE$84</c:f>
              <c:numCache>
                <c:formatCode>General</c:formatCode>
                <c:ptCount val="10"/>
              </c:numCache>
            </c:numRef>
          </c:val>
          <c:extLst>
            <c:ext xmlns:c16="http://schemas.microsoft.com/office/drawing/2014/chart" uri="{C3380CC4-5D6E-409C-BE32-E72D297353CC}">
              <c16:uniqueId val="{00000006-3F87-4733-86C0-3D9EC79F98F0}"/>
            </c:ext>
          </c:extLst>
        </c:ser>
        <c:ser>
          <c:idx val="7"/>
          <c:order val="7"/>
          <c:tx>
            <c:strRef>
              <c:f>'入力シート（2026年度提出用）'!$AU$85</c:f>
              <c:strCache>
                <c:ptCount val="1"/>
              </c:strCache>
            </c:strRef>
          </c:tx>
          <c:spPr>
            <a:solidFill>
              <a:schemeClr val="accent2">
                <a:lumMod val="60000"/>
              </a:schemeClr>
            </a:solidFill>
            <a:ln>
              <a:noFill/>
            </a:ln>
            <a:effectLst/>
          </c:spPr>
          <c:invertIfNegative val="0"/>
          <c:dLbls>
            <c:delete val="1"/>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'入力シート（2026年度提出用）'!$AV$85:$BE$85</c:f>
              <c:numCache>
                <c:formatCode>General</c:formatCode>
                <c:ptCount val="10"/>
              </c:numCache>
            </c:numRef>
          </c:val>
          <c:extLst>
            <c:ext xmlns:c16="http://schemas.microsoft.com/office/drawing/2014/chart" uri="{C3380CC4-5D6E-409C-BE32-E72D297353CC}">
              <c16:uniqueId val="{00000007-3F87-4733-86C0-3D9EC79F98F0}"/>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'入力シート（2026年度提出用）'!$AU$86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'入力シート（2026年度提出用）'!$AV$86:$BE$86</c:f>
              <c:numCache>
                <c:formatCode>General</c:formatCode>
                <c:ptCount val="10"/>
                <c:pt idx="2" formatCode="0.0_ ">
                  <c:v>#N/A</c:v>
                </c:pt>
              </c:numCache>
            </c:numRef>
          </c:val>
          <c:extLst>
            <c:ext xmlns:c16="http://schemas.microsoft.com/office/drawing/2014/chart" uri="{C3380CC4-5D6E-409C-BE32-E72D297353CC}">
              <c16:uniqueId val="{00000008-3F87-4733-86C0-3D9EC79F98F0}"/>
            </c:ext>
          </c:extLst>
        </c:ser>
        <c:ser>
          <c:idx val="9"/>
          <c:order val="9"/>
          <c:tx>
            <c:strRef>
              <c:f>'入力シート（2026年度提出用）'!$AU$87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'入力シート（2026年度提出用）'!$AV$77:$BE$77</c:f>
              <c:strCache>
                <c:ptCount val="9"/>
                <c:pt idx="0">
                  <c:v>2025年度</c:v>
                </c:pt>
                <c:pt idx="2">
                  <c:v>2026年度</c:v>
                </c:pt>
                <c:pt idx="4">
                  <c:v>2027年度</c:v>
                </c:pt>
                <c:pt idx="6">
                  <c:v>2028年度</c:v>
                </c:pt>
                <c:pt idx="8">
                  <c:v>2029年度</c:v>
                </c:pt>
              </c:strCache>
            </c:strRef>
          </c:cat>
          <c:val>
            <c:numRef>
              <c:f>'入力シート（2026年度提出用）'!$AV$87:$BE$87</c:f>
              <c:numCache>
                <c:formatCode>General</c:formatCode>
                <c:ptCount val="10"/>
                <c:pt idx="0" formatCode="0.0_);[Red]\(0.0\)">
                  <c:v>0</c:v>
                </c:pt>
              </c:numCache>
            </c:numRef>
          </c:val>
          <c:extLst>
            <c:ext xmlns:c16="http://schemas.microsoft.com/office/drawing/2014/chart" uri="{C3380CC4-5D6E-409C-BE32-E72D297353CC}">
              <c16:uniqueId val="{00000000-EA65-4F1A-A193-EF07E711BEA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'入力シート（2026年度提出用）'!$AV$76</c:f>
              <c:strCache>
                <c:ptCount val="1"/>
                <c:pt idx="0">
                  <c:v>[t-CO2]</c:v>
                </c:pt>
              </c:strCache>
            </c:strRef>
          </c:tx>
          <c:layout>
            <c:manualLayout>
              <c:xMode val="edge"/>
              <c:yMode val="edge"/>
              <c:x val="1.3910780416688117E-2"/>
              <c:y val="3.2902846179159249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'入力シート（2029年度提出用）'!$AU$78</c:f>
              <c:strCache>
                <c:ptCount val="1"/>
                <c:pt idx="0">
                  <c:v>ガソリン</c:v>
                </c:pt>
              </c:strCache>
            </c:strRef>
          </c:tx>
          <c:spPr>
            <a:solidFill>
              <a:schemeClr val="accent1"/>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'入力シート（2029年度提出用）'!$AV$78:$BE$78</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0-8A1B-4815-8820-ACDB6A13B4B8}"/>
            </c:ext>
          </c:extLst>
        </c:ser>
        <c:ser>
          <c:idx val="1"/>
          <c:order val="1"/>
          <c:tx>
            <c:strRef>
              <c:f>'入力シート（2029年度提出用）'!$AU$79</c:f>
              <c:strCache>
                <c:ptCount val="1"/>
                <c:pt idx="0">
                  <c:v>軽油</c:v>
                </c:pt>
              </c:strCache>
            </c:strRef>
          </c:tx>
          <c:spPr>
            <a:solidFill>
              <a:schemeClr val="accent2"/>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'入力シート（2029年度提出用）'!$AV$79:$BE$79</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1-8A1B-4815-8820-ACDB6A13B4B8}"/>
            </c:ext>
          </c:extLst>
        </c:ser>
        <c:ser>
          <c:idx val="2"/>
          <c:order val="2"/>
          <c:tx>
            <c:strRef>
              <c:f>'入力シート（2029年度提出用）'!$AU$80</c:f>
              <c:strCache>
                <c:ptCount val="1"/>
                <c:pt idx="0">
                  <c:v>液化石油ガス(LPG)</c:v>
                </c:pt>
              </c:strCache>
            </c:strRef>
          </c:tx>
          <c:spPr>
            <a:solidFill>
              <a:schemeClr val="accent3"/>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'入力シート（2029年度提出用）'!$AV$80:$BE$80</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2-8A1B-4815-8820-ACDB6A13B4B8}"/>
            </c:ext>
          </c:extLst>
        </c:ser>
        <c:ser>
          <c:idx val="3"/>
          <c:order val="3"/>
          <c:tx>
            <c:strRef>
              <c:f>'入力シート（2029年度提出用）'!$AU$81</c:f>
              <c:strCache>
                <c:ptCount val="1"/>
                <c:pt idx="0">
                  <c:v>電気（充電）</c:v>
                </c:pt>
              </c:strCache>
            </c:strRef>
          </c:tx>
          <c:spPr>
            <a:solidFill>
              <a:schemeClr val="accent4"/>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'入力シート（2029年度提出用）'!$AV$81:$BE$81</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3-8A1B-4815-8820-ACDB6A13B4B8}"/>
            </c:ext>
          </c:extLst>
        </c:ser>
        <c:ser>
          <c:idx val="4"/>
          <c:order val="4"/>
          <c:tx>
            <c:strRef>
              <c:f>'入力シート（2029年度提出用）'!$AU$82</c:f>
              <c:strCache>
                <c:ptCount val="1"/>
                <c:pt idx="0">
                  <c:v>水素</c:v>
                </c:pt>
              </c:strCache>
            </c:strRef>
          </c:tx>
          <c:spPr>
            <a:solidFill>
              <a:schemeClr val="accent5"/>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'入力シート（2029年度提出用）'!$AV$82:$BE$82</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4-8A1B-4815-8820-ACDB6A13B4B8}"/>
            </c:ext>
          </c:extLst>
        </c:ser>
        <c:ser>
          <c:idx val="5"/>
          <c:order val="5"/>
          <c:tx>
            <c:strRef>
              <c:f>'入力シート（2029年度提出用）'!$AU$83</c:f>
              <c:strCache>
                <c:ptCount val="1"/>
              </c:strCache>
            </c:strRef>
          </c:tx>
          <c:spPr>
            <a:solidFill>
              <a:schemeClr val="accent6"/>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'入力シート（2029年度提出用）'!$AV$83:$BE$83</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5-8A1B-4815-8820-ACDB6A13B4B8}"/>
            </c:ext>
          </c:extLst>
        </c:ser>
        <c:ser>
          <c:idx val="6"/>
          <c:order val="6"/>
          <c:tx>
            <c:strRef>
              <c:f>'入力シート（2029年度提出用）'!$AU$84</c:f>
              <c:strCache>
                <c:ptCount val="1"/>
              </c:strCache>
            </c:strRef>
          </c:tx>
          <c:spPr>
            <a:solidFill>
              <a:schemeClr val="accent1">
                <a:lumMod val="60000"/>
              </a:schemeClr>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'入力シート（2029年度提出用）'!$AV$84:$BE$84</c:f>
              <c:numCache>
                <c:formatCode>0.0_);[Red]\(0.0\)</c:formatCode>
                <c:ptCount val="10"/>
              </c:numCache>
            </c:numRef>
          </c:val>
          <c:extLst>
            <c:ext xmlns:c16="http://schemas.microsoft.com/office/drawing/2014/chart" uri="{C3380CC4-5D6E-409C-BE32-E72D297353CC}">
              <c16:uniqueId val="{00000006-8A1B-4815-8820-ACDB6A13B4B8}"/>
            </c:ext>
          </c:extLst>
        </c:ser>
        <c:ser>
          <c:idx val="7"/>
          <c:order val="7"/>
          <c:tx>
            <c:strRef>
              <c:f>'入力シート（2029年度提出用）'!$AU$85</c:f>
              <c:strCache>
                <c:ptCount val="1"/>
              </c:strCache>
            </c:strRef>
          </c:tx>
          <c:spPr>
            <a:solidFill>
              <a:schemeClr val="accent2">
                <a:lumMod val="60000"/>
              </a:schemeClr>
            </a:solidFill>
            <a:ln>
              <a:noFill/>
            </a:ln>
            <a:effectLst/>
          </c:spPr>
          <c:invertIfNegative val="0"/>
          <c:dLbls>
            <c:delete val="1"/>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'入力シート（2029年度提出用）'!$AV$85:$BE$85</c:f>
              <c:numCache>
                <c:formatCode>0.0_);[Red]\(0.0\)</c:formatCode>
                <c:ptCount val="10"/>
              </c:numCache>
            </c:numRef>
          </c:val>
          <c:extLst>
            <c:ext xmlns:c16="http://schemas.microsoft.com/office/drawing/2014/chart" uri="{C3380CC4-5D6E-409C-BE32-E72D297353CC}">
              <c16:uniqueId val="{00000007-8A1B-4815-8820-ACDB6A13B4B8}"/>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'入力シート（2029年度提出用）'!$AU$86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'入力シート（2029年度提出用）'!$AV$86:$BE$86</c:f>
              <c:numCache>
                <c:formatCode>0.0_);[Red]\(0.0\)</c:formatCode>
                <c:ptCount val="10"/>
                <c:pt idx="4">
                  <c:v>#N/A</c:v>
                </c:pt>
                <c:pt idx="6">
                  <c:v>#N/A</c:v>
                </c:pt>
                <c:pt idx="8">
                  <c:v>#N/A</c:v>
                </c:pt>
              </c:numCache>
            </c:numRef>
          </c:val>
          <c:extLst>
            <c:ext xmlns:c16="http://schemas.microsoft.com/office/drawing/2014/chart" uri="{C3380CC4-5D6E-409C-BE32-E72D297353CC}">
              <c16:uniqueId val="{00000008-8A1B-4815-8820-ACDB6A13B4B8}"/>
            </c:ext>
          </c:extLst>
        </c:ser>
        <c:ser>
          <c:idx val="9"/>
          <c:order val="9"/>
          <c:tx>
            <c:strRef>
              <c:f>'入力シート（2029年度提出用）'!$AU$87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'入力シート（2029年度提出用）'!$AV$77:$BE$77</c:f>
              <c:strCache>
                <c:ptCount val="9"/>
                <c:pt idx="0">
                  <c:v>2025年度</c:v>
                </c:pt>
                <c:pt idx="2">
                  <c:v>2026年度</c:v>
                </c:pt>
                <c:pt idx="4">
                  <c:v>2027年度</c:v>
                </c:pt>
                <c:pt idx="6">
                  <c:v>2028年度</c:v>
                </c:pt>
                <c:pt idx="8">
                  <c:v>2029年度</c:v>
                </c:pt>
              </c:strCache>
            </c:strRef>
          </c:cat>
          <c:val>
            <c:numRef>
              <c:f>'入力シート（2029年度提出用）'!$AV$87:$BE$87</c:f>
              <c:numCache>
                <c:formatCode>0.0_);[Red]\(0.0\)</c:formatCode>
                <c:ptCount val="10"/>
                <c:pt idx="0">
                  <c:v>0</c:v>
                </c:pt>
                <c:pt idx="2">
                  <c:v>0</c:v>
                </c:pt>
                <c:pt idx="4">
                  <c:v>0</c:v>
                </c:pt>
                <c:pt idx="6">
                  <c:v>0</c:v>
                </c:pt>
              </c:numCache>
            </c:numRef>
          </c:val>
          <c:extLst>
            <c:ext xmlns:c16="http://schemas.microsoft.com/office/drawing/2014/chart" uri="{C3380CC4-5D6E-409C-BE32-E72D297353CC}">
              <c16:uniqueId val="{00000009-8A1B-4815-8820-ACDB6A13B4B8}"/>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'入力シート（2029年度提出用）'!$AV$76</c:f>
              <c:strCache>
                <c:ptCount val="1"/>
                <c:pt idx="0">
                  <c:v>[t-CO2]</c:v>
                </c:pt>
              </c:strCache>
            </c:strRef>
          </c:tx>
          <c:layout>
            <c:manualLayout>
              <c:xMode val="edge"/>
              <c:yMode val="edge"/>
              <c:x val="1.8202387618172194E-2"/>
              <c:y val="4.732702055191446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'入力シート（2029年度提出用）'!$AU$71</c:f>
              <c:strCache>
                <c:ptCount val="1"/>
                <c:pt idx="0">
                  <c:v>2027年度（使用量）</c:v>
                </c:pt>
              </c:strCache>
            </c:strRef>
          </c:tx>
          <c:spPr>
            <a:solidFill>
              <a:schemeClr val="accent1">
                <a:lumMod val="40000"/>
                <a:lumOff val="60000"/>
              </a:schemeClr>
            </a:solidFill>
            <a:ln>
              <a:noFill/>
            </a:ln>
            <a:effectLst/>
          </c:spPr>
          <c:invertIfNegative val="0"/>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F3D-4A48-82BF-D5ACDD639ADA}"/>
            </c:ext>
          </c:extLst>
        </c:ser>
        <c:ser>
          <c:idx val="0"/>
          <c:order val="1"/>
          <c:tx>
            <c:strRef>
              <c:f>'入力シート（2029年度提出用）'!$AU$73</c:f>
              <c:strCache>
                <c:ptCount val="1"/>
                <c:pt idx="0">
                  <c:v>2028年度（使用量）</c:v>
                </c:pt>
              </c:strCache>
            </c:strRef>
          </c:tx>
          <c:spPr>
            <a:solidFill>
              <a:schemeClr val="accent6">
                <a:lumMod val="60000"/>
                <a:lumOff val="40000"/>
              </a:schemeClr>
            </a:solidFill>
            <a:ln>
              <a:noFill/>
            </a:ln>
            <a:effectLst/>
          </c:spPr>
          <c:invertIfNegative val="0"/>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3D-4A48-82BF-D5ACDD639ADA}"/>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'入力シート（2029年度提出用）'!$AU$72</c:f>
              <c:strCache>
                <c:ptCount val="1"/>
                <c:pt idx="0">
                  <c:v>2027年度（料金）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0F3D-4A48-82BF-D5ACDD639ADA}"/>
            </c:ext>
          </c:extLst>
        </c:ser>
        <c:ser>
          <c:idx val="1"/>
          <c:order val="3"/>
          <c:tx>
            <c:strRef>
              <c:f>'入力シート（2029年度提出用）'!$AU$74</c:f>
              <c:strCache>
                <c:ptCount val="1"/>
                <c:pt idx="0">
                  <c:v>2028年度（料金）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'入力シート（2029年度提出用）'!$AW$70:$BH$70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'入力シート（2029年度提出用）'!$AW$74:$BH$74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0F3D-4A48-82BF-D5ACDD639ADA}"/>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'入力シート（2029年度提出用）'!$AY$69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'入力シート（2029年度提出用）'!$BA$69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D60A-49F2-B16E-DF278C0625C9}"/>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D60A-49F2-B16E-DF278C0625C9}"/>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D60A-49F2-B16E-DF278C0625C9}"/>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D60A-49F2-B16E-DF278C0625C9}"/>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D60A-49F2-B16E-DF278C0625C9}"/>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D60A-49F2-B16E-DF278C0625C9}"/>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'入力シート（2029年度提出用）'!$AI$71:$AI$76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'入力シート（2029年度提出用）'!$AL$71:$AL$76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D60A-49F2-B16E-DF278C0625C9}"/>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r>
              <a:rPr lang="ja-JP" altLang="en-US" sz="1100" b="0"/>
              <a:t>温室効果ガス排出量</a:t>
            </a:r>
          </a:p>
        </c:rich>
      </c:tx>
      <c:layout>
        <c:manualLayout>
          <c:xMode val="edge"/>
          <c:yMode val="edge"/>
          <c:x val="0.31388741797867037"/>
          <c:y val="0.89409997485230774"/>
        </c:manualLayout>
      </c:layout>
      <c:overlay val="1"/>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25412152258337489"/>
          <c:y val="0.16868184403858491"/>
          <c:w val="0.70777688705285091"/>
          <c:h val="0.60544112392128258"/>
        </c:manualLayout>
      </c:layout>
      <c:barChart>
        <c:barDir val="col"/>
        <c:grouping val="clustered"/>
        <c:varyColors val="0"/>
        <c:ser>
          <c:idx val="2"/>
          <c:order val="2"/>
          <c:tx>
            <c:strRef>
              <c:f>公表用シート!$X$33</c:f>
              <c:strCache>
                <c:ptCount val="1"/>
                <c:pt idx="0">
                  <c:v>合計</c:v>
                </c:pt>
              </c:strCache>
            </c:strRef>
          </c:tx>
          <c:spPr>
            <a:solidFill>
              <a:srgbClr val="20B2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公表用シート!$Y$33:$AC$33</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2-FC54-4489-BDBF-AD92BCB773ED}"/>
            </c:ext>
          </c:extLst>
        </c:ser>
        <c:dLbls>
          <c:showLegendKey val="0"/>
          <c:showVal val="0"/>
          <c:showCatName val="0"/>
          <c:showSerName val="0"/>
          <c:showPercent val="0"/>
          <c:showBubbleSize val="0"/>
        </c:dLbls>
        <c:gapWidth val="100"/>
        <c:axId val="879284080"/>
        <c:axId val="879263920"/>
      </c:barChart>
      <c:barChart>
        <c:barDir val="col"/>
        <c:grouping val="clustered"/>
        <c:varyColors val="0"/>
        <c:ser>
          <c:idx val="0"/>
          <c:order val="0"/>
          <c:tx>
            <c:strRef>
              <c:f>公表用シート!$X$31</c:f>
              <c:strCache>
                <c:ptCount val="1"/>
                <c:pt idx="0">
                  <c:v>【目標】</c:v>
                </c:pt>
              </c:strCache>
            </c:strRef>
          </c:tx>
          <c:spPr>
            <a:noFill/>
            <a:ln w="9525">
              <a:solidFill>
                <a:srgbClr val="FF0066"/>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66"/>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公表用シート!$Y$30:$AC$30</c:f>
              <c:numCache>
                <c:formatCode>General</c:formatCode>
                <c:ptCount val="5"/>
                <c:pt idx="0">
                  <c:v>2025</c:v>
                </c:pt>
                <c:pt idx="1">
                  <c:v>2026</c:v>
                </c:pt>
                <c:pt idx="2">
                  <c:v>2027</c:v>
                </c:pt>
                <c:pt idx="3">
                  <c:v>2028</c:v>
                </c:pt>
                <c:pt idx="4">
                  <c:v>2029</c:v>
                </c:pt>
              </c:numCache>
            </c:numRef>
          </c:cat>
          <c:val>
            <c:numRef>
              <c:f>公表用シート!$Y$31:$AC$31</c:f>
              <c:numCache>
                <c:formatCode>0.0_);[Red]\(0.0\)</c:formatCode>
                <c:ptCount val="5"/>
                <c:pt idx="1">
                  <c:v>#N/A</c:v>
                </c:pt>
                <c:pt idx="2">
                  <c:v>#N/A</c:v>
                </c:pt>
                <c:pt idx="3">
                  <c:v>#N/A</c:v>
                </c:pt>
                <c:pt idx="4">
                  <c:v>#N/A</c:v>
                </c:pt>
              </c:numCache>
            </c:numRef>
          </c:val>
          <c:extLst>
            <c:ext xmlns:c16="http://schemas.microsoft.com/office/drawing/2014/chart" uri="{C3380CC4-5D6E-409C-BE32-E72D297353CC}">
              <c16:uniqueId val="{00000000-FC54-4489-BDBF-AD92BCB773ED}"/>
            </c:ext>
          </c:extLst>
        </c:ser>
        <c:ser>
          <c:idx val="1"/>
          <c:order val="1"/>
          <c:tx>
            <c:strRef>
              <c:f>公表用シート!$X$32</c:f>
              <c:strCache>
                <c:ptCount val="1"/>
                <c:pt idx="0">
                  <c:v>合計（ダミー）</c:v>
                </c:pt>
              </c:strCache>
            </c:strRef>
          </c:tx>
          <c:spPr>
            <a:noFill/>
            <a:ln>
              <a:noFill/>
            </a:ln>
            <a:effectLst/>
          </c:spPr>
          <c:invertIfNegative val="0"/>
          <c:cat>
            <c:numRef>
              <c:f>公表用シート!$Y$30:$AC$30</c:f>
              <c:numCache>
                <c:formatCode>General</c:formatCode>
                <c:ptCount val="5"/>
                <c:pt idx="0">
                  <c:v>2025</c:v>
                </c:pt>
                <c:pt idx="1">
                  <c:v>2026</c:v>
                </c:pt>
                <c:pt idx="2">
                  <c:v>2027</c:v>
                </c:pt>
                <c:pt idx="3">
                  <c:v>2028</c:v>
                </c:pt>
                <c:pt idx="4">
                  <c:v>2029</c:v>
                </c:pt>
              </c:numCache>
            </c:numRef>
          </c:cat>
          <c:val>
            <c:numRef>
              <c:f>公表用シート!$Y$32:$AC$32</c:f>
              <c:numCache>
                <c:formatCode>0.0_);[Red]\(0.0\)</c:formatCode>
                <c:ptCount val="5"/>
                <c:pt idx="0">
                  <c:v>#N/A</c:v>
                </c:pt>
                <c:pt idx="1">
                  <c:v>#N/A</c:v>
                </c:pt>
                <c:pt idx="2">
                  <c:v>#N/A</c:v>
                </c:pt>
                <c:pt idx="3">
                  <c:v>#N/A</c:v>
                </c:pt>
              </c:numCache>
            </c:numRef>
          </c:val>
          <c:extLst>
            <c:ext xmlns:c16="http://schemas.microsoft.com/office/drawing/2014/chart" uri="{C3380CC4-5D6E-409C-BE32-E72D297353CC}">
              <c16:uniqueId val="{00000001-FC54-4489-BDBF-AD92BCB773ED}"/>
            </c:ext>
          </c:extLst>
        </c:ser>
        <c:dLbls>
          <c:showLegendKey val="0"/>
          <c:showVal val="0"/>
          <c:showCatName val="0"/>
          <c:showSerName val="0"/>
          <c:showPercent val="0"/>
          <c:showBubbleSize val="0"/>
        </c:dLbls>
        <c:gapWidth val="100"/>
        <c:overlap val="100"/>
        <c:axId val="879298480"/>
        <c:axId val="879294640"/>
      </c:barChart>
      <c:catAx>
        <c:axId val="87928408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63920"/>
        <c:crosses val="autoZero"/>
        <c:auto val="1"/>
        <c:lblAlgn val="ctr"/>
        <c:lblOffset val="100"/>
        <c:noMultiLvlLbl val="0"/>
      </c:catAx>
      <c:valAx>
        <c:axId val="879263920"/>
        <c:scaling>
          <c:orientation val="minMax"/>
          <c:min val="0"/>
        </c:scaling>
        <c:delete val="0"/>
        <c:axPos val="l"/>
        <c:majorGridlines>
          <c:spPr>
            <a:ln w="9525" cap="flat" cmpd="sng" algn="ctr">
              <a:noFill/>
              <a:round/>
            </a:ln>
            <a:effectLst/>
          </c:spPr>
        </c:majorGridlines>
        <c:title>
          <c:tx>
            <c:strRef>
              <c:f>公表用シート!$Z$29</c:f>
              <c:strCache>
                <c:ptCount val="1"/>
                <c:pt idx="0">
                  <c:v>[t-CO2]</c:v>
                </c:pt>
              </c:strCache>
            </c:strRef>
          </c:tx>
          <c:layout>
            <c:manualLayout>
              <c:xMode val="edge"/>
              <c:yMode val="edge"/>
              <c:x val="5.9806727219941104E-2"/>
              <c:y val="1.6993855625350489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0_);[Red]\(0.0\)" sourceLinked="1"/>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879284080"/>
        <c:crosses val="autoZero"/>
        <c:crossBetween val="between"/>
      </c:valAx>
      <c:valAx>
        <c:axId val="879294640"/>
        <c:scaling>
          <c:orientation val="minMax"/>
        </c:scaling>
        <c:delete val="1"/>
        <c:axPos val="r"/>
        <c:numFmt formatCode="0.0_);[Red]\(0.0\)" sourceLinked="1"/>
        <c:majorTickMark val="out"/>
        <c:minorTickMark val="none"/>
        <c:tickLblPos val="nextTo"/>
        <c:crossAx val="879298480"/>
        <c:crosses val="max"/>
        <c:crossBetween val="between"/>
      </c:valAx>
      <c:catAx>
        <c:axId val="879298480"/>
        <c:scaling>
          <c:orientation val="minMax"/>
        </c:scaling>
        <c:delete val="1"/>
        <c:axPos val="b"/>
        <c:numFmt formatCode="General" sourceLinked="1"/>
        <c:majorTickMark val="out"/>
        <c:minorTickMark val="none"/>
        <c:tickLblPos val="nextTo"/>
        <c:crossAx val="879294640"/>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12700" cap="flat" cmpd="sng" algn="ctr">
      <a:solidFill>
        <a:sysClr val="windowText" lastClr="000000"/>
      </a:solid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71648468820423272"/>
        </c:manualLayout>
      </c:layout>
      <c:barChart>
        <c:barDir val="col"/>
        <c:grouping val="clustered"/>
        <c:varyColors val="0"/>
        <c:ser>
          <c:idx val="0"/>
          <c:order val="0"/>
          <c:tx>
            <c:strRef>
              <c:f>'入力シート（2026年度提出用）'!$AU$73</c:f>
              <c:strCache>
                <c:ptCount val="1"/>
                <c:pt idx="0">
                  <c:v>2025年度（使用量）</c:v>
                </c:pt>
              </c:strCache>
            </c:strRef>
          </c:tx>
          <c:spPr>
            <a:solidFill>
              <a:schemeClr val="accent6">
                <a:lumMod val="60000"/>
                <a:lumOff val="40000"/>
              </a:schemeClr>
            </a:solidFill>
            <a:ln>
              <a:noFill/>
            </a:ln>
            <a:effectLst/>
          </c:spPr>
          <c:invertIfNegative val="0"/>
          <c:cat>
            <c:strRef>
              <c:f>'入力シート（2026年度提出用）'!$AW$70:$BH$72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1E-497B-BA95-8679CE92502B}"/>
            </c:ext>
          </c:extLst>
        </c:ser>
        <c:dLbls>
          <c:showLegendKey val="0"/>
          <c:showVal val="0"/>
          <c:showCatName val="0"/>
          <c:showSerName val="0"/>
          <c:showPercent val="0"/>
          <c:showBubbleSize val="0"/>
        </c:dLbls>
        <c:gapWidth val="219"/>
        <c:axId val="1537529360"/>
        <c:axId val="1537528400"/>
      </c:barChart>
      <c:lineChart>
        <c:grouping val="standard"/>
        <c:varyColors val="0"/>
        <c:ser>
          <c:idx val="1"/>
          <c:order val="1"/>
          <c:tx>
            <c:strRef>
              <c:f>'入力シート（2026年度提出用）'!$AU$74</c:f>
              <c:strCache>
                <c:ptCount val="1"/>
                <c:pt idx="0">
                  <c:v>2025年度（料金）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'入力シート（2026年度提出用）'!$AW$70:$BH$72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'入力シート（2026年度提出用）'!$AW$74:$BH$74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1B1E-497B-BA95-8679CE92502B}"/>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'入力シート（2026年度提出用）'!$AY$69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'入力シート（2026年度提出用）'!$BA$69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0.19996505587053359"/>
          <c:y val="0.9231776722499403"/>
          <c:w val="0.6050183733244251"/>
          <c:h val="7.525617647768917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4-9ECC-497F-AB23-F2A5A0553154}"/>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5-9ECC-497F-AB23-F2A5A0553154}"/>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6-9ECC-497F-AB23-F2A5A0553154}"/>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9ECC-497F-AB23-F2A5A0553154}"/>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8-9ECC-497F-AB23-F2A5A0553154}"/>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9-9ECC-497F-AB23-F2A5A0553154}"/>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'入力シート（2026年度提出用）'!$AI$71:$AI$76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'入力シート（2026年度提出用）'!$AL$71:$AL$76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2-9ECC-497F-AB23-F2A5A0553154}"/>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'入力シート（2027年度提出用）'!$AU$78</c:f>
              <c:strCache>
                <c:ptCount val="1"/>
                <c:pt idx="0">
                  <c:v>ガソリン</c:v>
                </c:pt>
              </c:strCache>
            </c:strRef>
          </c:tx>
          <c:spPr>
            <a:solidFill>
              <a:schemeClr val="accent1"/>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'入力シート（2027年度提出用）'!$AV$78:$BE$78</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0-D46B-40C4-A948-3C2F3C660065}"/>
            </c:ext>
          </c:extLst>
        </c:ser>
        <c:ser>
          <c:idx val="1"/>
          <c:order val="1"/>
          <c:tx>
            <c:strRef>
              <c:f>'入力シート（2027年度提出用）'!$AU$79</c:f>
              <c:strCache>
                <c:ptCount val="1"/>
                <c:pt idx="0">
                  <c:v>軽油</c:v>
                </c:pt>
              </c:strCache>
            </c:strRef>
          </c:tx>
          <c:spPr>
            <a:solidFill>
              <a:schemeClr val="accent2"/>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'入力シート（2027年度提出用）'!$AV$79:$BE$79</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1-D46B-40C4-A948-3C2F3C660065}"/>
            </c:ext>
          </c:extLst>
        </c:ser>
        <c:ser>
          <c:idx val="2"/>
          <c:order val="2"/>
          <c:tx>
            <c:strRef>
              <c:f>'入力シート（2027年度提出用）'!$AU$80</c:f>
              <c:strCache>
                <c:ptCount val="1"/>
                <c:pt idx="0">
                  <c:v>液化石油ガス(LPG)</c:v>
                </c:pt>
              </c:strCache>
            </c:strRef>
          </c:tx>
          <c:spPr>
            <a:solidFill>
              <a:schemeClr val="accent3"/>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'入力シート（2027年度提出用）'!$AV$80:$BE$80</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2-D46B-40C4-A948-3C2F3C660065}"/>
            </c:ext>
          </c:extLst>
        </c:ser>
        <c:ser>
          <c:idx val="3"/>
          <c:order val="3"/>
          <c:tx>
            <c:strRef>
              <c:f>'入力シート（2027年度提出用）'!$AU$81</c:f>
              <c:strCache>
                <c:ptCount val="1"/>
                <c:pt idx="0">
                  <c:v>電気（充電）</c:v>
                </c:pt>
              </c:strCache>
            </c:strRef>
          </c:tx>
          <c:spPr>
            <a:solidFill>
              <a:schemeClr val="accent4"/>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'入力シート（2027年度提出用）'!$AV$81:$BE$81</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3-D46B-40C4-A948-3C2F3C660065}"/>
            </c:ext>
          </c:extLst>
        </c:ser>
        <c:ser>
          <c:idx val="4"/>
          <c:order val="4"/>
          <c:tx>
            <c:strRef>
              <c:f>'入力シート（2027年度提出用）'!$AU$82</c:f>
              <c:strCache>
                <c:ptCount val="1"/>
                <c:pt idx="0">
                  <c:v>水素</c:v>
                </c:pt>
              </c:strCache>
            </c:strRef>
          </c:tx>
          <c:spPr>
            <a:solidFill>
              <a:schemeClr val="accent5"/>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'入力シート（2027年度提出用）'!$AV$82:$BE$82</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4-D46B-40C4-A948-3C2F3C660065}"/>
            </c:ext>
          </c:extLst>
        </c:ser>
        <c:ser>
          <c:idx val="5"/>
          <c:order val="5"/>
          <c:tx>
            <c:strRef>
              <c:f>'入力シート（2027年度提出用）'!$AU$83</c:f>
              <c:strCache>
                <c:ptCount val="1"/>
              </c:strCache>
            </c:strRef>
          </c:tx>
          <c:spPr>
            <a:solidFill>
              <a:schemeClr val="accent6"/>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'入力シート（2027年度提出用）'!$AV$83:$BE$83</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6-D46B-40C4-A948-3C2F3C660065}"/>
            </c:ext>
          </c:extLst>
        </c:ser>
        <c:ser>
          <c:idx val="6"/>
          <c:order val="6"/>
          <c:tx>
            <c:strRef>
              <c:f>'入力シート（2027年度提出用）'!$AU$84</c:f>
              <c:strCache>
                <c:ptCount val="1"/>
              </c:strCache>
            </c:strRef>
          </c:tx>
          <c:spPr>
            <a:solidFill>
              <a:schemeClr val="accent1">
                <a:lumMod val="60000"/>
              </a:schemeClr>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'入力シート（2027年度提出用）'!$AV$84:$BE$84</c:f>
              <c:numCache>
                <c:formatCode>General</c:formatCode>
                <c:ptCount val="10"/>
              </c:numCache>
            </c:numRef>
          </c:val>
          <c:extLst>
            <c:ext xmlns:c16="http://schemas.microsoft.com/office/drawing/2014/chart" uri="{C3380CC4-5D6E-409C-BE32-E72D297353CC}">
              <c16:uniqueId val="{00000007-D46B-40C4-A948-3C2F3C660065}"/>
            </c:ext>
          </c:extLst>
        </c:ser>
        <c:ser>
          <c:idx val="7"/>
          <c:order val="7"/>
          <c:tx>
            <c:strRef>
              <c:f>'入力シート（2027年度提出用）'!$AU$85</c:f>
              <c:strCache>
                <c:ptCount val="1"/>
              </c:strCache>
            </c:strRef>
          </c:tx>
          <c:spPr>
            <a:solidFill>
              <a:schemeClr val="accent2">
                <a:lumMod val="60000"/>
              </a:schemeClr>
            </a:solidFill>
            <a:ln>
              <a:noFill/>
            </a:ln>
            <a:effectLst/>
          </c:spPr>
          <c:invertIfNegative val="0"/>
          <c:dLbls>
            <c:delete val="1"/>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'入力シート（2027年度提出用）'!$AV$85:$BE$85</c:f>
              <c:numCache>
                <c:formatCode>General</c:formatCode>
                <c:ptCount val="10"/>
              </c:numCache>
            </c:numRef>
          </c:val>
          <c:extLst>
            <c:ext xmlns:c16="http://schemas.microsoft.com/office/drawing/2014/chart" uri="{C3380CC4-5D6E-409C-BE32-E72D297353CC}">
              <c16:uniqueId val="{00000008-D46B-40C4-A948-3C2F3C660065}"/>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'入力シート（2027年度提出用）'!$AU$86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'入力シート（2027年度提出用）'!$AV$86:$BE$86</c:f>
              <c:numCache>
                <c:formatCode>General</c:formatCode>
                <c:ptCount val="10"/>
                <c:pt idx="4" formatCode="0.0_ ">
                  <c:v>#N/A</c:v>
                </c:pt>
              </c:numCache>
            </c:numRef>
          </c:val>
          <c:extLst>
            <c:ext xmlns:c16="http://schemas.microsoft.com/office/drawing/2014/chart" uri="{C3380CC4-5D6E-409C-BE32-E72D297353CC}">
              <c16:uniqueId val="{00000009-D46B-40C4-A948-3C2F3C660065}"/>
            </c:ext>
          </c:extLst>
        </c:ser>
        <c:ser>
          <c:idx val="9"/>
          <c:order val="9"/>
          <c:tx>
            <c:strRef>
              <c:f>'入力シート（2027年度提出用）'!$AU$87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'入力シート（2027年度提出用）'!$AV$77:$BE$77</c:f>
              <c:strCache>
                <c:ptCount val="9"/>
                <c:pt idx="0">
                  <c:v>2025年度</c:v>
                </c:pt>
                <c:pt idx="2">
                  <c:v>2026年度</c:v>
                </c:pt>
                <c:pt idx="4">
                  <c:v>2027年度</c:v>
                </c:pt>
                <c:pt idx="6">
                  <c:v>2028年度</c:v>
                </c:pt>
                <c:pt idx="8">
                  <c:v>2029年度</c:v>
                </c:pt>
              </c:strCache>
            </c:strRef>
          </c:cat>
          <c:val>
            <c:numRef>
              <c:f>'入力シート（2027年度提出用）'!$AV$87:$BE$87</c:f>
              <c:numCache>
                <c:formatCode>General</c:formatCode>
                <c:ptCount val="10"/>
                <c:pt idx="0" formatCode="0.0_);[Red]\(0.0\)">
                  <c:v>0</c:v>
                </c:pt>
                <c:pt idx="2" formatCode="0.0_);[Red]\(0.0\)">
                  <c:v>0</c:v>
                </c:pt>
              </c:numCache>
            </c:numRef>
          </c:val>
          <c:extLst>
            <c:ext xmlns:c16="http://schemas.microsoft.com/office/drawing/2014/chart" uri="{C3380CC4-5D6E-409C-BE32-E72D297353CC}">
              <c16:uniqueId val="{0000000A-D46B-40C4-A948-3C2F3C660065}"/>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'入力シート（2027年度提出用）'!$AV$76</c:f>
              <c:strCache>
                <c:ptCount val="1"/>
                <c:pt idx="0">
                  <c:v>[t-CO2]</c:v>
                </c:pt>
              </c:strCache>
            </c:strRef>
          </c:tx>
          <c:layout>
            <c:manualLayout>
              <c:xMode val="edge"/>
              <c:yMode val="edge"/>
              <c:x val="1.0112437565651219E-2"/>
              <c:y val="4.1269574018419408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General"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'入力シート（2027年度提出用）'!$AU$71</c:f>
              <c:strCache>
                <c:ptCount val="1"/>
                <c:pt idx="0">
                  <c:v>2025年度（使用量）</c:v>
                </c:pt>
              </c:strCache>
            </c:strRef>
          </c:tx>
          <c:spPr>
            <a:solidFill>
              <a:schemeClr val="accent1">
                <a:lumMod val="40000"/>
                <a:lumOff val="60000"/>
              </a:schemeClr>
            </a:solidFill>
            <a:ln>
              <a:noFill/>
            </a:ln>
            <a:effectLst/>
          </c:spPr>
          <c:invertIfNegative val="0"/>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334-4B79-8053-60C8EDFF4F3A}"/>
            </c:ext>
          </c:extLst>
        </c:ser>
        <c:ser>
          <c:idx val="0"/>
          <c:order val="1"/>
          <c:tx>
            <c:strRef>
              <c:f>'入力シート（2027年度提出用）'!$AU$73</c:f>
              <c:strCache>
                <c:ptCount val="1"/>
                <c:pt idx="0">
                  <c:v>2026年度（使用量）</c:v>
                </c:pt>
              </c:strCache>
            </c:strRef>
          </c:tx>
          <c:spPr>
            <a:solidFill>
              <a:schemeClr val="accent6">
                <a:lumMod val="60000"/>
                <a:lumOff val="40000"/>
              </a:schemeClr>
            </a:solidFill>
            <a:ln>
              <a:noFill/>
            </a:ln>
            <a:effectLst/>
          </c:spPr>
          <c:invertIfNegative val="0"/>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67-4C57-A3A5-977E3257B53D}"/>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'入力シート（2027年度提出用）'!$AU$72</c:f>
              <c:strCache>
                <c:ptCount val="1"/>
                <c:pt idx="0">
                  <c:v>2025年度（料金）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9334-4B79-8053-60C8EDFF4F3A}"/>
            </c:ext>
          </c:extLst>
        </c:ser>
        <c:ser>
          <c:idx val="1"/>
          <c:order val="3"/>
          <c:tx>
            <c:strRef>
              <c:f>'入力シート（2027年度提出用）'!$AU$74</c:f>
              <c:strCache>
                <c:ptCount val="1"/>
                <c:pt idx="0">
                  <c:v>2026年度（料金）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'入力シート（2027年度提出用）'!$AW$70:$BH$70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'入力シート（2027年度提出用）'!$AW$74:$BH$74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B867-4C57-A3A5-977E3257B53D}"/>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'入力シート（2027年度提出用）'!$AY$69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'入力シート（2027年度提出用）'!$BA$69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EED6-4FB9-BAFF-4359BFD6117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EED6-4FB9-BAFF-4359BFD6117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EED6-4FB9-BAFF-4359BFD6117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EED6-4FB9-BAFF-4359BFD6117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EED6-4FB9-BAFF-4359BFD6117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EED6-4FB9-BAFF-4359BFD6117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'入力シート（2027年度提出用）'!$AI$71:$AI$76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'入力シート（2027年度提出用）'!$AL$71:$AL$76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EED6-4FB9-BAFF-4359BFD6117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61682873638"/>
          <c:y val="0.14455529818428722"/>
          <c:w val="0.88440927821698889"/>
          <c:h val="0.75656266242621684"/>
        </c:manualLayout>
      </c:layout>
      <c:barChart>
        <c:barDir val="col"/>
        <c:grouping val="stacked"/>
        <c:varyColors val="0"/>
        <c:ser>
          <c:idx val="0"/>
          <c:order val="0"/>
          <c:tx>
            <c:strRef>
              <c:f>'入力シート（2028年度提出用）'!$AU$78</c:f>
              <c:strCache>
                <c:ptCount val="1"/>
                <c:pt idx="0">
                  <c:v>ガソリン</c:v>
                </c:pt>
              </c:strCache>
            </c:strRef>
          </c:tx>
          <c:spPr>
            <a:solidFill>
              <a:schemeClr val="accent1"/>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'入力シート（2028年度提出用）'!$AV$78:$BE$78</c:f>
              <c:numCache>
                <c:formatCode>0.0_);[Red]\(0.0\)</c:formatCode>
                <c:ptCount val="10"/>
                <c:pt idx="0">
                  <c:v>0</c:v>
                </c:pt>
                <c:pt idx="2">
                  <c:v>0</c:v>
                </c:pt>
                <c:pt idx="4">
                  <c:v>0</c:v>
                </c:pt>
              </c:numCache>
            </c:numRef>
          </c:val>
          <c:extLst>
            <c:ext xmlns:c16="http://schemas.microsoft.com/office/drawing/2014/chart" uri="{C3380CC4-5D6E-409C-BE32-E72D297353CC}">
              <c16:uniqueId val="{00000000-0166-4197-A4C0-321CAAF4A902}"/>
            </c:ext>
          </c:extLst>
        </c:ser>
        <c:ser>
          <c:idx val="1"/>
          <c:order val="1"/>
          <c:tx>
            <c:strRef>
              <c:f>'入力シート（2028年度提出用）'!$AU$79</c:f>
              <c:strCache>
                <c:ptCount val="1"/>
                <c:pt idx="0">
                  <c:v>軽油</c:v>
                </c:pt>
              </c:strCache>
            </c:strRef>
          </c:tx>
          <c:spPr>
            <a:solidFill>
              <a:schemeClr val="accent2"/>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'入力シート（2028年度提出用）'!$AV$79:$BE$79</c:f>
              <c:numCache>
                <c:formatCode>0.0_);[Red]\(0.0\)</c:formatCode>
                <c:ptCount val="10"/>
                <c:pt idx="0">
                  <c:v>0</c:v>
                </c:pt>
                <c:pt idx="2">
                  <c:v>0</c:v>
                </c:pt>
                <c:pt idx="4">
                  <c:v>0</c:v>
                </c:pt>
              </c:numCache>
            </c:numRef>
          </c:val>
          <c:extLst>
            <c:ext xmlns:c16="http://schemas.microsoft.com/office/drawing/2014/chart" uri="{C3380CC4-5D6E-409C-BE32-E72D297353CC}">
              <c16:uniqueId val="{00000001-0166-4197-A4C0-321CAAF4A902}"/>
            </c:ext>
          </c:extLst>
        </c:ser>
        <c:ser>
          <c:idx val="2"/>
          <c:order val="2"/>
          <c:tx>
            <c:strRef>
              <c:f>'入力シート（2028年度提出用）'!$AU$80</c:f>
              <c:strCache>
                <c:ptCount val="1"/>
                <c:pt idx="0">
                  <c:v>液化石油ガス(LPG)</c:v>
                </c:pt>
              </c:strCache>
            </c:strRef>
          </c:tx>
          <c:spPr>
            <a:solidFill>
              <a:schemeClr val="accent3"/>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'入力シート（2028年度提出用）'!$AV$80:$BE$80</c:f>
              <c:numCache>
                <c:formatCode>0.0_);[Red]\(0.0\)</c:formatCode>
                <c:ptCount val="10"/>
                <c:pt idx="0">
                  <c:v>0</c:v>
                </c:pt>
                <c:pt idx="2">
                  <c:v>0</c:v>
                </c:pt>
                <c:pt idx="4">
                  <c:v>0</c:v>
                </c:pt>
              </c:numCache>
            </c:numRef>
          </c:val>
          <c:extLst>
            <c:ext xmlns:c16="http://schemas.microsoft.com/office/drawing/2014/chart" uri="{C3380CC4-5D6E-409C-BE32-E72D297353CC}">
              <c16:uniqueId val="{00000002-0166-4197-A4C0-321CAAF4A902}"/>
            </c:ext>
          </c:extLst>
        </c:ser>
        <c:ser>
          <c:idx val="3"/>
          <c:order val="3"/>
          <c:tx>
            <c:strRef>
              <c:f>'入力シート（2028年度提出用）'!$AU$81</c:f>
              <c:strCache>
                <c:ptCount val="1"/>
                <c:pt idx="0">
                  <c:v>電気（充電）</c:v>
                </c:pt>
              </c:strCache>
            </c:strRef>
          </c:tx>
          <c:spPr>
            <a:solidFill>
              <a:schemeClr val="accent4"/>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'入力シート（2028年度提出用）'!$AV$81:$BE$81</c:f>
              <c:numCache>
                <c:formatCode>0.0_);[Red]\(0.0\)</c:formatCode>
                <c:ptCount val="10"/>
                <c:pt idx="0">
                  <c:v>0</c:v>
                </c:pt>
                <c:pt idx="2">
                  <c:v>0</c:v>
                </c:pt>
                <c:pt idx="4">
                  <c:v>0</c:v>
                </c:pt>
              </c:numCache>
            </c:numRef>
          </c:val>
          <c:extLst>
            <c:ext xmlns:c16="http://schemas.microsoft.com/office/drawing/2014/chart" uri="{C3380CC4-5D6E-409C-BE32-E72D297353CC}">
              <c16:uniqueId val="{00000003-0166-4197-A4C0-321CAAF4A902}"/>
            </c:ext>
          </c:extLst>
        </c:ser>
        <c:ser>
          <c:idx val="4"/>
          <c:order val="4"/>
          <c:tx>
            <c:strRef>
              <c:f>'入力シート（2028年度提出用）'!$AU$82</c:f>
              <c:strCache>
                <c:ptCount val="1"/>
                <c:pt idx="0">
                  <c:v>水素</c:v>
                </c:pt>
              </c:strCache>
            </c:strRef>
          </c:tx>
          <c:spPr>
            <a:solidFill>
              <a:schemeClr val="accent5"/>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'入力シート（2028年度提出用）'!$AV$82:$BE$82</c:f>
              <c:numCache>
                <c:formatCode>0.0_);[Red]\(0.0\)</c:formatCode>
                <c:ptCount val="10"/>
                <c:pt idx="0">
                  <c:v>0</c:v>
                </c:pt>
                <c:pt idx="2">
                  <c:v>0</c:v>
                </c:pt>
                <c:pt idx="4">
                  <c:v>0</c:v>
                </c:pt>
              </c:numCache>
            </c:numRef>
          </c:val>
          <c:extLst>
            <c:ext xmlns:c16="http://schemas.microsoft.com/office/drawing/2014/chart" uri="{C3380CC4-5D6E-409C-BE32-E72D297353CC}">
              <c16:uniqueId val="{00000004-0166-4197-A4C0-321CAAF4A902}"/>
            </c:ext>
          </c:extLst>
        </c:ser>
        <c:ser>
          <c:idx val="5"/>
          <c:order val="5"/>
          <c:tx>
            <c:strRef>
              <c:f>'入力シート（2028年度提出用）'!$AU$83</c:f>
              <c:strCache>
                <c:ptCount val="1"/>
              </c:strCache>
            </c:strRef>
          </c:tx>
          <c:spPr>
            <a:solidFill>
              <a:schemeClr val="accent6"/>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'入力シート（2028年度提出用）'!$AV$83:$BE$83</c:f>
              <c:numCache>
                <c:formatCode>0.0_);[Red]\(0.0\)</c:formatCode>
                <c:ptCount val="10"/>
                <c:pt idx="0">
                  <c:v>0</c:v>
                </c:pt>
                <c:pt idx="2">
                  <c:v>0</c:v>
                </c:pt>
                <c:pt idx="4">
                  <c:v>0</c:v>
                </c:pt>
              </c:numCache>
            </c:numRef>
          </c:val>
          <c:extLst>
            <c:ext xmlns:c16="http://schemas.microsoft.com/office/drawing/2014/chart" uri="{C3380CC4-5D6E-409C-BE32-E72D297353CC}">
              <c16:uniqueId val="{00000005-0166-4197-A4C0-321CAAF4A902}"/>
            </c:ext>
          </c:extLst>
        </c:ser>
        <c:ser>
          <c:idx val="6"/>
          <c:order val="6"/>
          <c:tx>
            <c:strRef>
              <c:f>'入力シート（2028年度提出用）'!$AU$84</c:f>
              <c:strCache>
                <c:ptCount val="1"/>
              </c:strCache>
            </c:strRef>
          </c:tx>
          <c:spPr>
            <a:solidFill>
              <a:schemeClr val="accent1">
                <a:lumMod val="60000"/>
              </a:schemeClr>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'入力シート（2028年度提出用）'!$AV$84:$BE$84</c:f>
              <c:numCache>
                <c:formatCode>0.0_);[Red]\(0.0\)</c:formatCode>
                <c:ptCount val="10"/>
              </c:numCache>
            </c:numRef>
          </c:val>
          <c:extLst>
            <c:ext xmlns:c16="http://schemas.microsoft.com/office/drawing/2014/chart" uri="{C3380CC4-5D6E-409C-BE32-E72D297353CC}">
              <c16:uniqueId val="{00000006-0166-4197-A4C0-321CAAF4A902}"/>
            </c:ext>
          </c:extLst>
        </c:ser>
        <c:ser>
          <c:idx val="7"/>
          <c:order val="7"/>
          <c:tx>
            <c:strRef>
              <c:f>'入力シート（2028年度提出用）'!$AU$85</c:f>
              <c:strCache>
                <c:ptCount val="1"/>
              </c:strCache>
            </c:strRef>
          </c:tx>
          <c:spPr>
            <a:solidFill>
              <a:schemeClr val="accent2">
                <a:lumMod val="60000"/>
              </a:schemeClr>
            </a:solidFill>
            <a:ln>
              <a:noFill/>
            </a:ln>
            <a:effectLst/>
          </c:spPr>
          <c:invertIfNegative val="0"/>
          <c:dLbls>
            <c:delete val="1"/>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'入力シート（2028年度提出用）'!$AV$85:$BE$85</c:f>
              <c:numCache>
                <c:formatCode>0.0_);[Red]\(0.0\)</c:formatCode>
                <c:ptCount val="10"/>
              </c:numCache>
            </c:numRef>
          </c:val>
          <c:extLst>
            <c:ext xmlns:c16="http://schemas.microsoft.com/office/drawing/2014/chart" uri="{C3380CC4-5D6E-409C-BE32-E72D297353CC}">
              <c16:uniqueId val="{00000007-0166-4197-A4C0-321CAAF4A902}"/>
            </c:ext>
          </c:extLst>
        </c:ser>
        <c:dLbls>
          <c:dLblPos val="inEnd"/>
          <c:showLegendKey val="0"/>
          <c:showVal val="1"/>
          <c:showCatName val="0"/>
          <c:showSerName val="0"/>
          <c:showPercent val="0"/>
          <c:showBubbleSize val="0"/>
        </c:dLbls>
        <c:gapWidth val="50"/>
        <c:overlap val="100"/>
        <c:axId val="1058985855"/>
        <c:axId val="1058986335"/>
      </c:barChart>
      <c:barChart>
        <c:barDir val="col"/>
        <c:grouping val="clustered"/>
        <c:varyColors val="0"/>
        <c:ser>
          <c:idx val="8"/>
          <c:order val="8"/>
          <c:tx>
            <c:strRef>
              <c:f>'入力シート（2028年度提出用）'!$AU$86</c:f>
              <c:strCache>
                <c:ptCount val="1"/>
                <c:pt idx="0">
                  <c:v>【目標】</c:v>
                </c:pt>
              </c:strCache>
            </c:strRef>
          </c:tx>
          <c:spPr>
            <a:noFill/>
            <a:ln w="6350">
              <a:solidFill>
                <a:srgbClr val="FF0000"/>
              </a:solidFill>
              <a:prstDash val="lgDash"/>
            </a:ln>
            <a:effectLst/>
          </c:spPr>
          <c:invertIfNegative val="0"/>
          <c:dLbls>
            <c:spPr>
              <a:noFill/>
              <a:ln>
                <a:noFill/>
              </a:ln>
              <a:effectLst/>
            </c:spPr>
            <c:txPr>
              <a:bodyPr rot="0" spcFirstLastPara="1" vertOverflow="ellipsis" vert="horz" wrap="none" lIns="38100" tIns="19050" rIns="38100" bIns="19050" numCol="1" spcCol="0" anchor="ctr" anchorCtr="1">
                <a:spAutoFit/>
              </a:bodyPr>
              <a:lstStyle/>
              <a:p>
                <a:pPr>
                  <a:defRPr sz="1200" b="1" i="0" u="none" strike="noStrike" kern="1200" baseline="0">
                    <a:solidFill>
                      <a:srgbClr val="FF0000"/>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'入力シート（2028年度提出用）'!$AV$86:$BE$86</c:f>
              <c:numCache>
                <c:formatCode>0.0_);[Red]\(0.0\)</c:formatCode>
                <c:ptCount val="10"/>
                <c:pt idx="4">
                  <c:v>#N/A</c:v>
                </c:pt>
                <c:pt idx="6">
                  <c:v>#N/A</c:v>
                </c:pt>
              </c:numCache>
            </c:numRef>
          </c:val>
          <c:extLst>
            <c:ext xmlns:c16="http://schemas.microsoft.com/office/drawing/2014/chart" uri="{C3380CC4-5D6E-409C-BE32-E72D297353CC}">
              <c16:uniqueId val="{00000008-0166-4197-A4C0-321CAAF4A902}"/>
            </c:ext>
          </c:extLst>
        </c:ser>
        <c:ser>
          <c:idx val="9"/>
          <c:order val="9"/>
          <c:tx>
            <c:strRef>
              <c:f>'入力シート（2028年度提出用）'!$AU$87</c:f>
              <c:strCache>
                <c:ptCount val="1"/>
                <c:pt idx="0">
                  <c:v>合計</c:v>
                </c:pt>
              </c:strCache>
            </c:strRef>
          </c:tx>
          <c:spPr>
            <a:noFill/>
            <a:ln>
              <a:noFill/>
            </a:ln>
            <a:effectLst/>
          </c:spPr>
          <c:invertIfNegative val="0"/>
          <c:dLbls>
            <c:spPr>
              <a:noFill/>
              <a:ln>
                <a:noFill/>
              </a:ln>
              <a:effectLst/>
            </c:spPr>
            <c:txPr>
              <a:bodyPr rot="0" spcFirstLastPara="1" vertOverflow="ellipsis" vert="horz" wrap="none" lIns="38100" tIns="19050" rIns="38100" bIns="19050" anchor="ctr" anchorCtr="1">
                <a:spAutoFit/>
              </a:bodyPr>
              <a:lstStyle/>
              <a:p>
                <a:pPr>
                  <a:defRPr sz="1200" b="1"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'入力シート（2028年度提出用）'!$AV$77:$BE$77</c:f>
              <c:strCache>
                <c:ptCount val="9"/>
                <c:pt idx="0">
                  <c:v>2025年度</c:v>
                </c:pt>
                <c:pt idx="2">
                  <c:v>2026年度</c:v>
                </c:pt>
                <c:pt idx="4">
                  <c:v>2027年度</c:v>
                </c:pt>
                <c:pt idx="6">
                  <c:v>2028年度</c:v>
                </c:pt>
                <c:pt idx="8">
                  <c:v>2029年度</c:v>
                </c:pt>
              </c:strCache>
            </c:strRef>
          </c:cat>
          <c:val>
            <c:numRef>
              <c:f>'入力シート（2028年度提出用）'!$AV$87:$BE$87</c:f>
              <c:numCache>
                <c:formatCode>0.0_);[Red]\(0.0\)</c:formatCode>
                <c:ptCount val="10"/>
                <c:pt idx="0">
                  <c:v>0</c:v>
                </c:pt>
                <c:pt idx="2">
                  <c:v>0</c:v>
                </c:pt>
                <c:pt idx="4">
                  <c:v>0</c:v>
                </c:pt>
              </c:numCache>
            </c:numRef>
          </c:val>
          <c:extLst>
            <c:ext xmlns:c16="http://schemas.microsoft.com/office/drawing/2014/chart" uri="{C3380CC4-5D6E-409C-BE32-E72D297353CC}">
              <c16:uniqueId val="{00000009-0166-4197-A4C0-321CAAF4A902}"/>
            </c:ext>
          </c:extLst>
        </c:ser>
        <c:dLbls>
          <c:showLegendKey val="0"/>
          <c:showVal val="0"/>
          <c:showCatName val="0"/>
          <c:showSerName val="0"/>
          <c:showPercent val="0"/>
          <c:showBubbleSize val="0"/>
        </c:dLbls>
        <c:gapWidth val="50"/>
        <c:overlap val="100"/>
        <c:axId val="1407687392"/>
        <c:axId val="1407701312"/>
      </c:barChart>
      <c:catAx>
        <c:axId val="1058985855"/>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6335"/>
        <c:crosses val="autoZero"/>
        <c:auto val="1"/>
        <c:lblAlgn val="ctr"/>
        <c:lblOffset val="100"/>
        <c:tickMarkSkip val="1"/>
        <c:noMultiLvlLbl val="0"/>
      </c:catAx>
      <c:valAx>
        <c:axId val="1058986335"/>
        <c:scaling>
          <c:orientation val="minMax"/>
          <c:min val="0"/>
        </c:scaling>
        <c:delete val="0"/>
        <c:axPos val="l"/>
        <c:majorGridlines>
          <c:spPr>
            <a:ln w="9525" cap="flat" cmpd="sng" algn="ctr">
              <a:noFill/>
              <a:round/>
            </a:ln>
            <a:effectLst/>
          </c:spPr>
        </c:majorGridlines>
        <c:title>
          <c:tx>
            <c:strRef>
              <c:f>'入力シート（2028年度提出用）'!$AV$76</c:f>
              <c:strCache>
                <c:ptCount val="1"/>
                <c:pt idx="0">
                  <c:v>[t-CO2]</c:v>
                </c:pt>
              </c:strCache>
            </c:strRef>
          </c:tx>
          <c:layout>
            <c:manualLayout>
              <c:xMode val="edge"/>
              <c:yMode val="edge"/>
              <c:x val="1.4157412591911707E-2"/>
              <c:y val="3.2183404218176823E-2"/>
            </c:manualLayout>
          </c:layout>
          <c:overlay val="0"/>
          <c:txPr>
            <a:bodyPr rot="0" vert="horz"/>
            <a:lstStyle/>
            <a:p>
              <a:pPr>
                <a:defRPr b="0"/>
              </a:pPr>
              <a:endParaRPr lang="ja-JP"/>
            </a:p>
          </c:txPr>
        </c:title>
        <c:numFmt formatCode="0.0_);[Red]\(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058985855"/>
        <c:crosses val="autoZero"/>
        <c:crossBetween val="between"/>
      </c:valAx>
      <c:valAx>
        <c:axId val="1407701312"/>
        <c:scaling>
          <c:orientation val="minMax"/>
        </c:scaling>
        <c:delete val="1"/>
        <c:axPos val="r"/>
        <c:numFmt formatCode="0.0_);[Red]\(0.0\)" sourceLinked="1"/>
        <c:majorTickMark val="out"/>
        <c:minorTickMark val="none"/>
        <c:tickLblPos val="nextTo"/>
        <c:crossAx val="1407687392"/>
        <c:crosses val="max"/>
        <c:crossBetween val="between"/>
      </c:valAx>
      <c:catAx>
        <c:axId val="1407687392"/>
        <c:scaling>
          <c:orientation val="minMax"/>
        </c:scaling>
        <c:delete val="1"/>
        <c:axPos val="b"/>
        <c:numFmt formatCode="General" sourceLinked="1"/>
        <c:majorTickMark val="out"/>
        <c:minorTickMark val="none"/>
        <c:tickLblPos val="nextTo"/>
        <c:crossAx val="140770131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4538184476151"/>
          <c:y val="9.8972314316282589E-2"/>
          <c:w val="0.78496520814999693"/>
          <c:h val="0.69768908630505899"/>
        </c:manualLayout>
      </c:layout>
      <c:barChart>
        <c:barDir val="col"/>
        <c:grouping val="clustered"/>
        <c:varyColors val="0"/>
        <c:ser>
          <c:idx val="2"/>
          <c:order val="0"/>
          <c:tx>
            <c:strRef>
              <c:f>'入力シート（2028年度提出用）'!$AU$71</c:f>
              <c:strCache>
                <c:ptCount val="1"/>
                <c:pt idx="0">
                  <c:v>2026年度（使用量）</c:v>
                </c:pt>
              </c:strCache>
            </c:strRef>
          </c:tx>
          <c:spPr>
            <a:solidFill>
              <a:schemeClr val="accent1">
                <a:lumMod val="40000"/>
                <a:lumOff val="60000"/>
              </a:schemeClr>
            </a:solidFill>
            <a:ln>
              <a:noFill/>
            </a:ln>
            <a:effectLst/>
          </c:spPr>
          <c:invertIfNegative val="0"/>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'入力シート（2028年度提出用）'!$AW$71:$BH$71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13-4A79-AB18-C0E63AEF8509}"/>
            </c:ext>
          </c:extLst>
        </c:ser>
        <c:ser>
          <c:idx val="0"/>
          <c:order val="1"/>
          <c:tx>
            <c:strRef>
              <c:f>'入力シート（2028年度提出用）'!$AU$73</c:f>
              <c:strCache>
                <c:ptCount val="1"/>
                <c:pt idx="0">
                  <c:v>2027年度（使用量）</c:v>
                </c:pt>
              </c:strCache>
            </c:strRef>
          </c:tx>
          <c:spPr>
            <a:solidFill>
              <a:schemeClr val="accent6">
                <a:lumMod val="60000"/>
                <a:lumOff val="40000"/>
              </a:schemeClr>
            </a:solidFill>
            <a:ln>
              <a:noFill/>
            </a:ln>
            <a:effectLst/>
          </c:spPr>
          <c:invertIfNegative val="0"/>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'入力シート（2028年度提出用）'!$AW$73:$BH$73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613-4A79-AB18-C0E63AEF8509}"/>
            </c:ext>
          </c:extLst>
        </c:ser>
        <c:dLbls>
          <c:showLegendKey val="0"/>
          <c:showVal val="0"/>
          <c:showCatName val="0"/>
          <c:showSerName val="0"/>
          <c:showPercent val="0"/>
          <c:showBubbleSize val="0"/>
        </c:dLbls>
        <c:gapWidth val="150"/>
        <c:overlap val="-20"/>
        <c:axId val="1537529360"/>
        <c:axId val="1537528400"/>
      </c:barChart>
      <c:lineChart>
        <c:grouping val="standard"/>
        <c:varyColors val="0"/>
        <c:ser>
          <c:idx val="3"/>
          <c:order val="2"/>
          <c:tx>
            <c:strRef>
              <c:f>'入力シート（2028年度提出用）'!$AU$72</c:f>
              <c:strCache>
                <c:ptCount val="1"/>
                <c:pt idx="0">
                  <c:v>2026年度（料金）</c:v>
                </c:pt>
              </c:strCache>
            </c:strRef>
          </c:tx>
          <c:spPr>
            <a:ln w="15875" cap="rnd">
              <a:solidFill>
                <a:srgbClr val="BA8CDC"/>
              </a:solidFill>
              <a:round/>
            </a:ln>
            <a:effectLst/>
          </c:spPr>
          <c:marker>
            <c:symbol val="circle"/>
            <c:size val="5"/>
            <c:spPr>
              <a:solidFill>
                <a:srgbClr val="BA8CDC"/>
              </a:solidFill>
              <a:ln w="9525">
                <a:noFill/>
              </a:ln>
              <a:effectLst/>
            </c:spPr>
          </c:marker>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'入力シート（2028年度提出用）'!$AW$72:$BH$72</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5613-4A79-AB18-C0E63AEF8509}"/>
            </c:ext>
          </c:extLst>
        </c:ser>
        <c:ser>
          <c:idx val="1"/>
          <c:order val="3"/>
          <c:tx>
            <c:strRef>
              <c:f>'入力シート（2028年度提出用）'!$AU$74</c:f>
              <c:strCache>
                <c:ptCount val="1"/>
                <c:pt idx="0">
                  <c:v>2027年度（料金）</c:v>
                </c:pt>
              </c:strCache>
            </c:strRef>
          </c:tx>
          <c:spPr>
            <a:ln w="15875" cap="rnd">
              <a:solidFill>
                <a:schemeClr val="accent2"/>
              </a:solidFill>
              <a:round/>
            </a:ln>
            <a:effectLst/>
          </c:spPr>
          <c:marker>
            <c:symbol val="circle"/>
            <c:size val="5"/>
            <c:spPr>
              <a:solidFill>
                <a:schemeClr val="accent2"/>
              </a:solidFill>
              <a:ln w="9525">
                <a:solidFill>
                  <a:schemeClr val="accent2"/>
                </a:solidFill>
              </a:ln>
              <a:effectLst/>
            </c:spPr>
          </c:marker>
          <c:cat>
            <c:strRef>
              <c:f>'入力シート（2028年度提出用）'!$AW$70:$BH$70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'入力シート（2028年度提出用）'!$AW$74:$BH$74</c:f>
              <c:numCache>
                <c:formatCode>#,##0_);[Red]\(#,##0\)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5613-4A79-AB18-C0E63AEF8509}"/>
            </c:ext>
          </c:extLst>
        </c:ser>
        <c:dLbls>
          <c:showLegendKey val="0"/>
          <c:showVal val="0"/>
          <c:showCatName val="0"/>
          <c:showSerName val="0"/>
          <c:showPercent val="0"/>
          <c:showBubbleSize val="0"/>
        </c:dLbls>
        <c:marker val="1"/>
        <c:smooth val="0"/>
        <c:axId val="969658544"/>
        <c:axId val="969656624"/>
      </c:lineChart>
      <c:catAx>
        <c:axId val="15375293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8400"/>
        <c:crosses val="autoZero"/>
        <c:auto val="1"/>
        <c:lblAlgn val="ctr"/>
        <c:lblOffset val="100"/>
        <c:noMultiLvlLbl val="0"/>
      </c:catAx>
      <c:valAx>
        <c:axId val="1537528400"/>
        <c:scaling>
          <c:orientation val="minMax"/>
          <c:min val="0"/>
        </c:scaling>
        <c:delete val="0"/>
        <c:axPos val="l"/>
        <c:majorGridlines>
          <c:spPr>
            <a:ln w="9525" cap="flat" cmpd="sng" algn="ctr">
              <a:noFill/>
              <a:round/>
            </a:ln>
            <a:effectLst/>
          </c:spPr>
        </c:majorGridlines>
        <c:title>
          <c:tx>
            <c:strRef>
              <c:f>'入力シート（2028年度提出用）'!$AY$69</c:f>
              <c:strCache>
                <c:ptCount val="1"/>
                <c:pt idx="0">
                  <c:v>[リットル]</c:v>
                </c:pt>
              </c:strCache>
            </c:strRef>
          </c:tx>
          <c:layout>
            <c:manualLayout>
              <c:xMode val="edge"/>
              <c:yMode val="edge"/>
              <c:x val="3.4322689412945306E-2"/>
              <c:y val="1.021773347324239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1537529360"/>
        <c:crosses val="autoZero"/>
        <c:crossBetween val="between"/>
      </c:valAx>
      <c:valAx>
        <c:axId val="969656624"/>
        <c:scaling>
          <c:orientation val="minMax"/>
          <c:min val="0"/>
        </c:scaling>
        <c:delete val="0"/>
        <c:axPos val="r"/>
        <c:title>
          <c:tx>
            <c:strRef>
              <c:f>'入力シート（2028年度提出用）'!$BA$69</c:f>
              <c:strCache>
                <c:ptCount val="1"/>
                <c:pt idx="0">
                  <c:v>[円]</c:v>
                </c:pt>
              </c:strCache>
            </c:strRef>
          </c:tx>
          <c:layout>
            <c:manualLayout>
              <c:xMode val="edge"/>
              <c:yMode val="edge"/>
              <c:x val="0.90664021000752026"/>
              <c:y val="6.733485985207745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title>
        <c:numFmt formatCode="#,##0_);[Red]\(#,##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crossAx val="969658544"/>
        <c:crosses val="max"/>
        <c:crossBetween val="between"/>
      </c:valAx>
      <c:catAx>
        <c:axId val="969658544"/>
        <c:scaling>
          <c:orientation val="minMax"/>
        </c:scaling>
        <c:delete val="1"/>
        <c:axPos val="b"/>
        <c:numFmt formatCode="General" sourceLinked="1"/>
        <c:majorTickMark val="out"/>
        <c:minorTickMark val="none"/>
        <c:tickLblPos val="nextTo"/>
        <c:crossAx val="969656624"/>
        <c:crosses val="autoZero"/>
        <c:auto val="1"/>
        <c:lblAlgn val="ctr"/>
        <c:lblOffset val="100"/>
        <c:noMultiLvlLbl val="0"/>
      </c:catAx>
      <c:spPr>
        <a:noFill/>
        <a:ln>
          <a:noFill/>
        </a:ln>
        <a:effectLst/>
      </c:spPr>
    </c:plotArea>
    <c:legend>
      <c:legendPos val="b"/>
      <c:layout>
        <c:manualLayout>
          <c:xMode val="edge"/>
          <c:yMode val="edge"/>
          <c:x val="6.2888390387735166E-3"/>
          <c:y val="0.89068376346102629"/>
          <c:w val="0.98061995265509883"/>
          <c:h val="0.109316236538973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spPr>
            <a:ln>
              <a:solidFill>
                <a:schemeClr val="bg1"/>
              </a:solidFill>
            </a:ln>
          </c:spPr>
          <c:dPt>
            <c:idx val="0"/>
            <c:bubble3D val="0"/>
            <c:spPr>
              <a:solidFill>
                <a:schemeClr val="accent1"/>
              </a:solidFill>
              <a:ln w="19050">
                <a:solidFill>
                  <a:schemeClr val="bg1"/>
                </a:solidFill>
              </a:ln>
              <a:effectLst/>
            </c:spPr>
            <c:extLst>
              <c:ext xmlns:c16="http://schemas.microsoft.com/office/drawing/2014/chart" uri="{C3380CC4-5D6E-409C-BE32-E72D297353CC}">
                <c16:uniqueId val="{00000001-40BD-4BA3-B42D-BF6BC3A9C22F}"/>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40BD-4BA3-B42D-BF6BC3A9C22F}"/>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40BD-4BA3-B42D-BF6BC3A9C22F}"/>
              </c:ext>
            </c:extLst>
          </c:dPt>
          <c:dPt>
            <c:idx val="3"/>
            <c:bubble3D val="0"/>
            <c:spPr>
              <a:solidFill>
                <a:schemeClr val="accent4"/>
              </a:solidFill>
              <a:ln w="19050">
                <a:solidFill>
                  <a:schemeClr val="bg1"/>
                </a:solidFill>
              </a:ln>
              <a:effectLst/>
            </c:spPr>
            <c:extLst>
              <c:ext xmlns:c16="http://schemas.microsoft.com/office/drawing/2014/chart" uri="{C3380CC4-5D6E-409C-BE32-E72D297353CC}">
                <c16:uniqueId val="{00000007-40BD-4BA3-B42D-BF6BC3A9C22F}"/>
              </c:ext>
            </c:extLst>
          </c:dPt>
          <c:dPt>
            <c:idx val="4"/>
            <c:bubble3D val="0"/>
            <c:spPr>
              <a:solidFill>
                <a:schemeClr val="accent5"/>
              </a:solidFill>
              <a:ln w="19050">
                <a:solidFill>
                  <a:schemeClr val="bg1"/>
                </a:solidFill>
              </a:ln>
              <a:effectLst/>
            </c:spPr>
            <c:extLst>
              <c:ext xmlns:c16="http://schemas.microsoft.com/office/drawing/2014/chart" uri="{C3380CC4-5D6E-409C-BE32-E72D297353CC}">
                <c16:uniqueId val="{00000009-40BD-4BA3-B42D-BF6BC3A9C22F}"/>
              </c:ext>
            </c:extLst>
          </c:dPt>
          <c:dPt>
            <c:idx val="5"/>
            <c:bubble3D val="0"/>
            <c:spPr>
              <a:solidFill>
                <a:schemeClr val="accent6"/>
              </a:solidFill>
              <a:ln w="19050">
                <a:solidFill>
                  <a:schemeClr val="bg1"/>
                </a:solidFill>
              </a:ln>
              <a:effectLst/>
            </c:spPr>
            <c:extLst>
              <c:ext xmlns:c16="http://schemas.microsoft.com/office/drawing/2014/chart" uri="{C3380CC4-5D6E-409C-BE32-E72D297353CC}">
                <c16:uniqueId val="{0000000B-40BD-4BA3-B42D-BF6BC3A9C22F}"/>
              </c:ext>
            </c:extLst>
          </c:dPt>
          <c:dLbls>
            <c:spPr>
              <a:noFill/>
              <a:ln>
                <a:noFill/>
              </a:ln>
              <a:effectLst/>
            </c:spPr>
            <c:txPr>
              <a:bodyPr rot="0" spcFirstLastPara="1" vertOverflow="overflow" horzOverflow="overflow" vert="horz" wrap="none" lIns="0" tIns="0" rIns="0" bIns="0" numCol="1" spcCol="0" anchor="ctr" anchorCtr="0">
                <a:spAutoFit/>
              </a:bodyPr>
              <a:lstStyle/>
              <a:p>
                <a:pPr algn="ctr">
                  <a:defRPr sz="1100" b="1" i="0" u="none" strike="noStrike" kern="1000" spc="-50" normalizeH="0" baseline="0">
                    <a:solidFill>
                      <a:sysClr val="windowText" lastClr="000000"/>
                    </a:solidFill>
                    <a:latin typeface="メイリオ" panose="020B0604030504040204" pitchFamily="50" charset="-128"/>
                    <a:ea typeface="メイリオ" panose="020B0604030504040204"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'入力シート（2028年度提出用）'!$AI$71:$AI$76</c:f>
              <c:strCache>
                <c:ptCount val="6"/>
                <c:pt idx="0">
                  <c:v>ガソリン</c:v>
                </c:pt>
                <c:pt idx="1">
                  <c:v>軽油</c:v>
                </c:pt>
                <c:pt idx="2">
                  <c:v>液化石油ガス(LPG)</c:v>
                </c:pt>
                <c:pt idx="3">
                  <c:v>電気（充電）</c:v>
                </c:pt>
                <c:pt idx="4">
                  <c:v>水素</c:v>
                </c:pt>
                <c:pt idx="5">
                  <c:v>上記以外のエネルギー（選択）</c:v>
                </c:pt>
              </c:strCache>
            </c:strRef>
          </c:cat>
          <c:val>
            <c:numRef>
              <c:f>'入力シート（2028年度提出用）'!$AL$71:$AL$76</c:f>
              <c:numCache>
                <c:formatCode>0.00_);[Red]\(0.00\)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12-40BD-4BA3-B42D-BF6BC3A9C22F}"/>
            </c:ext>
          </c:extLst>
        </c:ser>
        <c:dLbls>
          <c:showLegendKey val="0"/>
          <c:showVal val="1"/>
          <c:showCatName val="0"/>
          <c:showSerName val="0"/>
          <c:showPercent val="0"/>
          <c:showBubbleSize val="0"/>
          <c:showLeaderLines val="1"/>
        </c:dLbls>
        <c:firstSliceAng val="0"/>
        <c:holeSize val="7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AG$85" lockText="1"/>
</file>

<file path=xl/ctrlProps/ctrlProp10.xml><?xml version="1.0" encoding="utf-8"?>
<formControlPr xmlns="http://schemas.microsoft.com/office/spreadsheetml/2009/9/main" objectType="Radio" firstButton="1" fmlaLink="$AG$92" lockText="1"/>
</file>

<file path=xl/ctrlProps/ctrlProp100.xml><?xml version="1.0" encoding="utf-8"?>
<formControlPr xmlns="http://schemas.microsoft.com/office/spreadsheetml/2009/9/main" objectType="Radio" firstButton="1" fmlaLink="$AG$96" lockText="1"/>
</file>

<file path=xl/ctrlProps/ctrlProp101.xml><?xml version="1.0" encoding="utf-8"?>
<formControlPr xmlns="http://schemas.microsoft.com/office/spreadsheetml/2009/9/main" objectType="Radio" firstButton="1" fmlaLink="$AG$97" lockText="1"/>
</file>

<file path=xl/ctrlProps/ctrlProp102.xml><?xml version="1.0" encoding="utf-8"?>
<formControlPr xmlns="http://schemas.microsoft.com/office/spreadsheetml/2009/9/main" objectType="Radio" firstButton="1" fmlaLink="$AG$98" lockText="1"/>
</file>

<file path=xl/ctrlProps/ctrlProp103.xml><?xml version="1.0" encoding="utf-8"?>
<formControlPr xmlns="http://schemas.microsoft.com/office/spreadsheetml/2009/9/main" objectType="Radio" firstButton="1" fmlaLink="$AG$99" lockText="1"/>
</file>

<file path=xl/ctrlProps/ctrlProp104.xml><?xml version="1.0" encoding="utf-8"?>
<formControlPr xmlns="http://schemas.microsoft.com/office/spreadsheetml/2009/9/main" objectType="Radio" firstButton="1" fmlaLink="$AG$101" lockText="1"/>
</file>

<file path=xl/ctrlProps/ctrlProp105.xml><?xml version="1.0" encoding="utf-8"?>
<formControlPr xmlns="http://schemas.microsoft.com/office/spreadsheetml/2009/9/main" objectType="Radio" firstButton="1" fmlaLink="$AG$102" lockText="1"/>
</file>

<file path=xl/ctrlProps/ctrlProp106.xml><?xml version="1.0" encoding="utf-8"?>
<formControlPr xmlns="http://schemas.microsoft.com/office/spreadsheetml/2009/9/main" objectType="Radio" firstButton="1" fmlaLink="$AG$103" lockText="1"/>
</file>

<file path=xl/ctrlProps/ctrlProp107.xml><?xml version="1.0" encoding="utf-8"?>
<formControlPr xmlns="http://schemas.microsoft.com/office/spreadsheetml/2009/9/main" objectType="Radio" firstButton="1" fmlaLink="$AG$104" lockText="1"/>
</file>

<file path=xl/ctrlProps/ctrlProp108.xml><?xml version="1.0" encoding="utf-8"?>
<formControlPr xmlns="http://schemas.microsoft.com/office/spreadsheetml/2009/9/main" objectType="Radio" firstButton="1" fmlaLink="$AG$105"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AG$93"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firstButton="1" fmlaLink="$AG$94"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G$95"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AG$96"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G$97" lockText="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G$98" lockText="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AG$9"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firstButton="1" fmlaLink="$AH$9" lockText="1"/>
</file>

<file path=xl/ctrlProps/ctrlProp165.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AG$100" lockText="1"/>
</file>

<file path=xl/ctrlProps/ctrlProp17.xml><?xml version="1.0" encoding="utf-8"?>
<formControlPr xmlns="http://schemas.microsoft.com/office/spreadsheetml/2009/9/main" objectType="Radio" firstButton="1" fmlaLink="$AG$10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AG$85"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firstButton="1" fmlaLink="$AG$86" lockText="1"/>
</file>

<file path=xl/ctrlProps/ctrlProp177.xml><?xml version="1.0" encoding="utf-8"?>
<formControlPr xmlns="http://schemas.microsoft.com/office/spreadsheetml/2009/9/main" objectType="Radio" firstButton="1" fmlaLink="$AG$87" lockText="1"/>
</file>

<file path=xl/ctrlProps/ctrlProp178.xml><?xml version="1.0" encoding="utf-8"?>
<formControlPr xmlns="http://schemas.microsoft.com/office/spreadsheetml/2009/9/main" objectType="Radio" firstButton="1" fmlaLink="$AG$88" lockText="1"/>
</file>

<file path=xl/ctrlProps/ctrlProp179.xml><?xml version="1.0" encoding="utf-8"?>
<formControlPr xmlns="http://schemas.microsoft.com/office/spreadsheetml/2009/9/main" objectType="Radio" firstButton="1" fmlaLink="$AG$89" lockText="1"/>
</file>

<file path=xl/ctrlProps/ctrlProp18.xml><?xml version="1.0" encoding="utf-8"?>
<formControlPr xmlns="http://schemas.microsoft.com/office/spreadsheetml/2009/9/main" objectType="Radio" firstButton="1" fmlaLink="$AG$102" lockText="1"/>
</file>

<file path=xl/ctrlProps/ctrlProp180.xml><?xml version="1.0" encoding="utf-8"?>
<formControlPr xmlns="http://schemas.microsoft.com/office/spreadsheetml/2009/9/main" objectType="Radio" firstButton="1" fmlaLink="$AG$90" lockText="1"/>
</file>

<file path=xl/ctrlProps/ctrlProp181.xml><?xml version="1.0" encoding="utf-8"?>
<formControlPr xmlns="http://schemas.microsoft.com/office/spreadsheetml/2009/9/main" objectType="Radio" firstButton="1" fmlaLink="$AG$91" lockText="1"/>
</file>

<file path=xl/ctrlProps/ctrlProp182.xml><?xml version="1.0" encoding="utf-8"?>
<formControlPr xmlns="http://schemas.microsoft.com/office/spreadsheetml/2009/9/main" objectType="Radio" firstButton="1" fmlaLink="$AG$92" lockText="1"/>
</file>

<file path=xl/ctrlProps/ctrlProp183.xml><?xml version="1.0" encoding="utf-8"?>
<formControlPr xmlns="http://schemas.microsoft.com/office/spreadsheetml/2009/9/main" objectType="Radio" firstButton="1" fmlaLink="$AG$93" lockText="1"/>
</file>

<file path=xl/ctrlProps/ctrlProp184.xml><?xml version="1.0" encoding="utf-8"?>
<formControlPr xmlns="http://schemas.microsoft.com/office/spreadsheetml/2009/9/main" objectType="Radio" firstButton="1" fmlaLink="$AG$94" lockText="1"/>
</file>

<file path=xl/ctrlProps/ctrlProp185.xml><?xml version="1.0" encoding="utf-8"?>
<formControlPr xmlns="http://schemas.microsoft.com/office/spreadsheetml/2009/9/main" objectType="Radio" firstButton="1" fmlaLink="$AG$95" lockText="1"/>
</file>

<file path=xl/ctrlProps/ctrlProp186.xml><?xml version="1.0" encoding="utf-8"?>
<formControlPr xmlns="http://schemas.microsoft.com/office/spreadsheetml/2009/9/main" objectType="Radio" firstButton="1" fmlaLink="$AG$96" lockText="1"/>
</file>

<file path=xl/ctrlProps/ctrlProp187.xml><?xml version="1.0" encoding="utf-8"?>
<formControlPr xmlns="http://schemas.microsoft.com/office/spreadsheetml/2009/9/main" objectType="Radio" firstButton="1" fmlaLink="$AG$97" lockText="1"/>
</file>

<file path=xl/ctrlProps/ctrlProp188.xml><?xml version="1.0" encoding="utf-8"?>
<formControlPr xmlns="http://schemas.microsoft.com/office/spreadsheetml/2009/9/main" objectType="Radio" firstButton="1" fmlaLink="$AG$98" lockText="1"/>
</file>

<file path=xl/ctrlProps/ctrlProp189.xml><?xml version="1.0" encoding="utf-8"?>
<formControlPr xmlns="http://schemas.microsoft.com/office/spreadsheetml/2009/9/main" objectType="Radio" firstButton="1" fmlaLink="$AG$99" lockText="1"/>
</file>

<file path=xl/ctrlProps/ctrlProp19.xml><?xml version="1.0" encoding="utf-8"?>
<formControlPr xmlns="http://schemas.microsoft.com/office/spreadsheetml/2009/9/main" objectType="Radio" firstButton="1" fmlaLink="$AG$103" lockText="1"/>
</file>

<file path=xl/ctrlProps/ctrlProp190.xml><?xml version="1.0" encoding="utf-8"?>
<formControlPr xmlns="http://schemas.microsoft.com/office/spreadsheetml/2009/9/main" objectType="Radio" firstButton="1" fmlaLink="$AG$101" lockText="1"/>
</file>

<file path=xl/ctrlProps/ctrlProp191.xml><?xml version="1.0" encoding="utf-8"?>
<formControlPr xmlns="http://schemas.microsoft.com/office/spreadsheetml/2009/9/main" objectType="Radio" firstButton="1" fmlaLink="$AG$102" lockText="1"/>
</file>

<file path=xl/ctrlProps/ctrlProp192.xml><?xml version="1.0" encoding="utf-8"?>
<formControlPr xmlns="http://schemas.microsoft.com/office/spreadsheetml/2009/9/main" objectType="Radio" firstButton="1" fmlaLink="$AG$103" lockText="1"/>
</file>

<file path=xl/ctrlProps/ctrlProp193.xml><?xml version="1.0" encoding="utf-8"?>
<formControlPr xmlns="http://schemas.microsoft.com/office/spreadsheetml/2009/9/main" objectType="Radio" firstButton="1" fmlaLink="$AG$104" lockText="1"/>
</file>

<file path=xl/ctrlProps/ctrlProp194.xml><?xml version="1.0" encoding="utf-8"?>
<formControlPr xmlns="http://schemas.microsoft.com/office/spreadsheetml/2009/9/main" objectType="Radio" firstButton="1" fmlaLink="$AG$105"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firstButton="1" fmlaLink="$AG$104"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Radio"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AG$105"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Radio"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Radio"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Radio"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AG$9" lockText="1"/>
</file>

<file path=xl/ctrlProps/ctrlProp249.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50.xml><?xml version="1.0" encoding="utf-8"?>
<formControlPr xmlns="http://schemas.microsoft.com/office/spreadsheetml/2009/9/main" objectType="Radio" firstButton="1" fmlaLink="$AH$9"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fmlaLink="$AG$100"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fmlaLink="$AG$85"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Radio" lockText="1"/>
</file>

<file path=xl/ctrlProps/ctrlProp262.xml><?xml version="1.0" encoding="utf-8"?>
<formControlPr xmlns="http://schemas.microsoft.com/office/spreadsheetml/2009/9/main" objectType="Radio" firstButton="1" fmlaLink="$AG$86" lockText="1"/>
</file>

<file path=xl/ctrlProps/ctrlProp263.xml><?xml version="1.0" encoding="utf-8"?>
<formControlPr xmlns="http://schemas.microsoft.com/office/spreadsheetml/2009/9/main" objectType="Radio" firstButton="1" fmlaLink="$AG$87" lockText="1"/>
</file>

<file path=xl/ctrlProps/ctrlProp264.xml><?xml version="1.0" encoding="utf-8"?>
<formControlPr xmlns="http://schemas.microsoft.com/office/spreadsheetml/2009/9/main" objectType="Radio" firstButton="1" fmlaLink="$AG$88" lockText="1"/>
</file>

<file path=xl/ctrlProps/ctrlProp265.xml><?xml version="1.0" encoding="utf-8"?>
<formControlPr xmlns="http://schemas.microsoft.com/office/spreadsheetml/2009/9/main" objectType="Radio" firstButton="1" fmlaLink="$AG$89" lockText="1"/>
</file>

<file path=xl/ctrlProps/ctrlProp266.xml><?xml version="1.0" encoding="utf-8"?>
<formControlPr xmlns="http://schemas.microsoft.com/office/spreadsheetml/2009/9/main" objectType="Radio" firstButton="1" fmlaLink="$AG$90" lockText="1"/>
</file>

<file path=xl/ctrlProps/ctrlProp267.xml><?xml version="1.0" encoding="utf-8"?>
<formControlPr xmlns="http://schemas.microsoft.com/office/spreadsheetml/2009/9/main" objectType="Radio" firstButton="1" fmlaLink="$AG$91" lockText="1"/>
</file>

<file path=xl/ctrlProps/ctrlProp268.xml><?xml version="1.0" encoding="utf-8"?>
<formControlPr xmlns="http://schemas.microsoft.com/office/spreadsheetml/2009/9/main" objectType="Radio" firstButton="1" fmlaLink="$AG$92" lockText="1"/>
</file>

<file path=xl/ctrlProps/ctrlProp269.xml><?xml version="1.0" encoding="utf-8"?>
<formControlPr xmlns="http://schemas.microsoft.com/office/spreadsheetml/2009/9/main" objectType="Radio" firstButton="1" fmlaLink="$AG$93"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firstButton="1" fmlaLink="$AG$94" lockText="1"/>
</file>

<file path=xl/ctrlProps/ctrlProp271.xml><?xml version="1.0" encoding="utf-8"?>
<formControlPr xmlns="http://schemas.microsoft.com/office/spreadsheetml/2009/9/main" objectType="Radio" firstButton="1" fmlaLink="$AG$95" lockText="1"/>
</file>

<file path=xl/ctrlProps/ctrlProp272.xml><?xml version="1.0" encoding="utf-8"?>
<formControlPr xmlns="http://schemas.microsoft.com/office/spreadsheetml/2009/9/main" objectType="Radio" firstButton="1" fmlaLink="$AG$96" lockText="1"/>
</file>

<file path=xl/ctrlProps/ctrlProp273.xml><?xml version="1.0" encoding="utf-8"?>
<formControlPr xmlns="http://schemas.microsoft.com/office/spreadsheetml/2009/9/main" objectType="Radio" firstButton="1" fmlaLink="$AG$97" lockText="1"/>
</file>

<file path=xl/ctrlProps/ctrlProp274.xml><?xml version="1.0" encoding="utf-8"?>
<formControlPr xmlns="http://schemas.microsoft.com/office/spreadsheetml/2009/9/main" objectType="Radio" firstButton="1" fmlaLink="$AG$98" lockText="1"/>
</file>

<file path=xl/ctrlProps/ctrlProp275.xml><?xml version="1.0" encoding="utf-8"?>
<formControlPr xmlns="http://schemas.microsoft.com/office/spreadsheetml/2009/9/main" objectType="Radio" firstButton="1" fmlaLink="$AG$99" lockText="1"/>
</file>

<file path=xl/ctrlProps/ctrlProp276.xml><?xml version="1.0" encoding="utf-8"?>
<formControlPr xmlns="http://schemas.microsoft.com/office/spreadsheetml/2009/9/main" objectType="Radio" firstButton="1" fmlaLink="$AG$101" lockText="1"/>
</file>

<file path=xl/ctrlProps/ctrlProp277.xml><?xml version="1.0" encoding="utf-8"?>
<formControlPr xmlns="http://schemas.microsoft.com/office/spreadsheetml/2009/9/main" objectType="Radio" firstButton="1" fmlaLink="$AG$102" lockText="1"/>
</file>

<file path=xl/ctrlProps/ctrlProp278.xml><?xml version="1.0" encoding="utf-8"?>
<formControlPr xmlns="http://schemas.microsoft.com/office/spreadsheetml/2009/9/main" objectType="Radio" firstButton="1" fmlaLink="$AG$103" lockText="1"/>
</file>

<file path=xl/ctrlProps/ctrlProp279.xml><?xml version="1.0" encoding="utf-8"?>
<formControlPr xmlns="http://schemas.microsoft.com/office/spreadsheetml/2009/9/main" objectType="Radio" firstButton="1" fmlaLink="$AG$104"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firstButton="1" fmlaLink="$AG$105" lockText="1"/>
</file>

<file path=xl/ctrlProps/ctrlProp281.xml><?xml version="1.0" encoding="utf-8"?>
<formControlPr xmlns="http://schemas.microsoft.com/office/spreadsheetml/2009/9/main" objectType="Radio"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Radio"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Radio"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Radio"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Radio"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Radio" lockText="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fmlaLink="$AG$9"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firstButton="1" fmlaLink="$AH$9"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fmlaLink="$AG$100"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AG$86"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fmlaLink="$AG$87"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AG$88"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G$89" lockText="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G$9"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fmlaLink="$AH$9"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G$99" lockText="1"/>
</file>

<file path=xl/ctrlProps/ctrlProp8.xml><?xml version="1.0" encoding="utf-8"?>
<formControlPr xmlns="http://schemas.microsoft.com/office/spreadsheetml/2009/9/main" objectType="Radio" firstButton="1" fmlaLink="$AG$90"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G$100"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G$85"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AG$91" lockText="1"/>
</file>

<file path=xl/ctrlProps/ctrlProp90.xml><?xml version="1.0" encoding="utf-8"?>
<formControlPr xmlns="http://schemas.microsoft.com/office/spreadsheetml/2009/9/main" objectType="Radio" firstButton="1" fmlaLink="$AG$86" lockText="1"/>
</file>

<file path=xl/ctrlProps/ctrlProp91.xml><?xml version="1.0" encoding="utf-8"?>
<formControlPr xmlns="http://schemas.microsoft.com/office/spreadsheetml/2009/9/main" objectType="Radio" firstButton="1" fmlaLink="$AG$87" lockText="1"/>
</file>

<file path=xl/ctrlProps/ctrlProp92.xml><?xml version="1.0" encoding="utf-8"?>
<formControlPr xmlns="http://schemas.microsoft.com/office/spreadsheetml/2009/9/main" objectType="Radio" firstButton="1" fmlaLink="$AG$88" lockText="1"/>
</file>

<file path=xl/ctrlProps/ctrlProp93.xml><?xml version="1.0" encoding="utf-8"?>
<formControlPr xmlns="http://schemas.microsoft.com/office/spreadsheetml/2009/9/main" objectType="Radio" firstButton="1" fmlaLink="$AG$89" lockText="1"/>
</file>

<file path=xl/ctrlProps/ctrlProp94.xml><?xml version="1.0" encoding="utf-8"?>
<formControlPr xmlns="http://schemas.microsoft.com/office/spreadsheetml/2009/9/main" objectType="Radio" firstButton="1" fmlaLink="$AG$90" lockText="1"/>
</file>

<file path=xl/ctrlProps/ctrlProp95.xml><?xml version="1.0" encoding="utf-8"?>
<formControlPr xmlns="http://schemas.microsoft.com/office/spreadsheetml/2009/9/main" objectType="Radio" firstButton="1" fmlaLink="$AG$91" lockText="1"/>
</file>

<file path=xl/ctrlProps/ctrlProp96.xml><?xml version="1.0" encoding="utf-8"?>
<formControlPr xmlns="http://schemas.microsoft.com/office/spreadsheetml/2009/9/main" objectType="Radio" firstButton="1" fmlaLink="$AG$92" lockText="1"/>
</file>

<file path=xl/ctrlProps/ctrlProp97.xml><?xml version="1.0" encoding="utf-8"?>
<formControlPr xmlns="http://schemas.microsoft.com/office/spreadsheetml/2009/9/main" objectType="Radio" firstButton="1" fmlaLink="$AG$93" lockText="1"/>
</file>

<file path=xl/ctrlProps/ctrlProp98.xml><?xml version="1.0" encoding="utf-8"?>
<formControlPr xmlns="http://schemas.microsoft.com/office/spreadsheetml/2009/9/main" objectType="Radio" firstButton="1" fmlaLink="$AG$94" lockText="1"/>
</file>

<file path=xl/ctrlProps/ctrlProp99.xml><?xml version="1.0" encoding="utf-8"?>
<formControlPr xmlns="http://schemas.microsoft.com/office/spreadsheetml/2009/9/main" objectType="Radio" firstButton="1" fmlaLink="$AG$95"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369523</xdr:rowOff>
    </xdr:to>
    <xdr:sp macro="" textlink="">
      <xdr:nvSpPr>
        <xdr:cNvPr id="2" name="矢印: 右 1">
          <a:extLst>
            <a:ext uri="{FF2B5EF4-FFF2-40B4-BE49-F238E27FC236}">
              <a16:creationId xmlns:a16="http://schemas.microsoft.com/office/drawing/2014/main" id="{FC933E03-01E9-82EB-7327-8B22AD4187B2}"/>
            </a:ext>
          </a:extLst>
        </xdr:cNvPr>
        <xdr:cNvSpPr/>
      </xdr:nvSpPr>
      <xdr:spPr>
        <a:xfrm>
          <a:off x="13134191" y="14485528"/>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276225</xdr:colOff>
          <xdr:row>84</xdr:row>
          <xdr:rowOff>295275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552450</xdr:colOff>
          <xdr:row>84</xdr:row>
          <xdr:rowOff>295275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314325</xdr:colOff>
          <xdr:row>84</xdr:row>
          <xdr:rowOff>295275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314325</xdr:colOff>
          <xdr:row>85</xdr:row>
          <xdr:rowOff>285750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295275</xdr:colOff>
          <xdr:row>86</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276225</xdr:colOff>
          <xdr:row>87</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276225</xdr:colOff>
          <xdr:row>88</xdr:row>
          <xdr:rowOff>295275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295275</xdr:colOff>
          <xdr:row>89</xdr:row>
          <xdr:rowOff>285750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295275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276225</xdr:colOff>
          <xdr:row>93</xdr:row>
          <xdr:rowOff>285750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295275</xdr:colOff>
          <xdr:row>94</xdr:row>
          <xdr:rowOff>285750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257175</xdr:colOff>
          <xdr:row>95</xdr:row>
          <xdr:rowOff>285750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295275</xdr:colOff>
          <xdr:row>96</xdr:row>
          <xdr:rowOff>285750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295275</xdr:colOff>
          <xdr:row>97</xdr:row>
          <xdr:rowOff>285750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352425</xdr:colOff>
          <xdr:row>98</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295275</xdr:colOff>
          <xdr:row>100</xdr:row>
          <xdr:rowOff>295275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285750</xdr:colOff>
          <xdr:row>101</xdr:row>
          <xdr:rowOff>285750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285750</xdr:colOff>
          <xdr:row>102</xdr:row>
          <xdr:rowOff>285750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295275</xdr:colOff>
          <xdr:row>104</xdr:row>
          <xdr:rowOff>285750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581025</xdr:colOff>
          <xdr:row>85</xdr:row>
          <xdr:rowOff>285750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514350</xdr:colOff>
          <xdr:row>86</xdr:row>
          <xdr:rowOff>285750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581025</xdr:colOff>
          <xdr:row>87</xdr:row>
          <xdr:rowOff>285750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600075</xdr:colOff>
          <xdr:row>88</xdr:row>
          <xdr:rowOff>295275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542925</xdr:colOff>
          <xdr:row>89</xdr:row>
          <xdr:rowOff>285750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542925</xdr:colOff>
          <xdr:row>90</xdr:row>
          <xdr:rowOff>295275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561975</xdr:colOff>
          <xdr:row>91</xdr:row>
          <xdr:rowOff>285750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561975</xdr:colOff>
          <xdr:row>93</xdr:row>
          <xdr:rowOff>285750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561975</xdr:colOff>
          <xdr:row>94</xdr:row>
          <xdr:rowOff>285750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561975</xdr:colOff>
          <xdr:row>95</xdr:row>
          <xdr:rowOff>285750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561975</xdr:colOff>
          <xdr:row>96</xdr:row>
          <xdr:rowOff>285750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542925</xdr:colOff>
          <xdr:row>97</xdr:row>
          <xdr:rowOff>285750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561975</xdr:colOff>
          <xdr:row>100</xdr:row>
          <xdr:rowOff>295275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581025</xdr:colOff>
          <xdr:row>101</xdr:row>
          <xdr:rowOff>285750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542925</xdr:colOff>
          <xdr:row>102</xdr:row>
          <xdr:rowOff>285750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542925</xdr:colOff>
          <xdr:row>103</xdr:row>
          <xdr:rowOff>285750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561975</xdr:colOff>
          <xdr:row>104</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314325</xdr:colOff>
          <xdr:row>85</xdr:row>
          <xdr:rowOff>285750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257175</xdr:colOff>
          <xdr:row>86</xdr:row>
          <xdr:rowOff>285750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257175</xdr:colOff>
          <xdr:row>87</xdr:row>
          <xdr:rowOff>285750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295275</xdr:colOff>
          <xdr:row>88</xdr:row>
          <xdr:rowOff>295275</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276225</xdr:colOff>
          <xdr:row>89</xdr:row>
          <xdr:rowOff>285750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295275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257175</xdr:colOff>
          <xdr:row>92</xdr:row>
          <xdr:rowOff>285750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276225</xdr:colOff>
          <xdr:row>93</xdr:row>
          <xdr:rowOff>285750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257175</xdr:colOff>
          <xdr:row>94</xdr:row>
          <xdr:rowOff>285750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276225</xdr:colOff>
          <xdr:row>95</xdr:row>
          <xdr:rowOff>285750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276225</xdr:colOff>
          <xdr:row>96</xdr:row>
          <xdr:rowOff>285750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247650</xdr:colOff>
          <xdr:row>97</xdr:row>
          <xdr:rowOff>285750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276225</xdr:colOff>
          <xdr:row>98</xdr:row>
          <xdr:rowOff>285750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342900</xdr:colOff>
          <xdr:row>84</xdr:row>
          <xdr:rowOff>342900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352425</xdr:colOff>
          <xdr:row>85</xdr:row>
          <xdr:rowOff>371475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352425</xdr:colOff>
          <xdr:row>86</xdr:row>
          <xdr:rowOff>371475</xdr:rowOff>
        </xdr:to>
        <xdr:sp macro="" textlink="">
          <xdr:nvSpPr>
            <xdr:cNvPr id="1120" name="Group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352425</xdr:colOff>
          <xdr:row>87</xdr:row>
          <xdr:rowOff>342900</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352425</xdr:colOff>
          <xdr:row>88</xdr:row>
          <xdr:rowOff>371475</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352425</xdr:colOff>
          <xdr:row>89</xdr:row>
          <xdr:rowOff>371475</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352425</xdr:colOff>
          <xdr:row>90</xdr:row>
          <xdr:rowOff>371475</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352425</xdr:colOff>
          <xdr:row>91</xdr:row>
          <xdr:rowOff>371475</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352425</xdr:colOff>
          <xdr:row>92</xdr:row>
          <xdr:rowOff>371475</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352425</xdr:colOff>
          <xdr:row>94</xdr:row>
          <xdr:rowOff>0</xdr:rowOff>
        </xdr:to>
        <xdr:sp macro="" textlink="">
          <xdr:nvSpPr>
            <xdr:cNvPr id="1133" name="Group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352425</xdr:colOff>
          <xdr:row>94</xdr:row>
          <xdr:rowOff>371475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352425</xdr:colOff>
          <xdr:row>96</xdr:row>
          <xdr:rowOff>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352425</xdr:colOff>
          <xdr:row>96</xdr:row>
          <xdr:rowOff>371475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352425</xdr:colOff>
          <xdr:row>97</xdr:row>
          <xdr:rowOff>371475</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352425</xdr:colOff>
          <xdr:row>98</xdr:row>
          <xdr:rowOff>371475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371475</xdr:colOff>
          <xdr:row>100</xdr:row>
          <xdr:rowOff>342900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352425</xdr:colOff>
          <xdr:row>101</xdr:row>
          <xdr:rowOff>371475</xdr:rowOff>
        </xdr:to>
        <xdr:sp macro="" textlink="">
          <xdr:nvSpPr>
            <xdr:cNvPr id="1152" name="Group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352425</xdr:colOff>
          <xdr:row>102</xdr:row>
          <xdr:rowOff>342900</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352425</xdr:colOff>
          <xdr:row>103</xdr:row>
          <xdr:rowOff>371475</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352425</xdr:colOff>
          <xdr:row>104</xdr:row>
          <xdr:rowOff>342900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229522</xdr:colOff>
      <xdr:row>66</xdr:row>
      <xdr:rowOff>242127</xdr:rowOff>
    </xdr:from>
    <xdr:to>
      <xdr:col>29</xdr:col>
      <xdr:colOff>447554</xdr:colOff>
      <xdr:row>79</xdr:row>
      <xdr:rowOff>285192</xdr:rowOff>
    </xdr:to>
    <xdr:graphicFrame macro="">
      <xdr:nvGraphicFramePr>
        <xdr:cNvPr id="6" name="グラフ 5">
          <a:extLst>
            <a:ext uri="{FF2B5EF4-FFF2-40B4-BE49-F238E27FC236}">
              <a16:creationId xmlns:a16="http://schemas.microsoft.com/office/drawing/2014/main" id="{530EDF4A-AB52-18B4-16CB-6F835FC9A0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44385</xdr:colOff>
      <xdr:row>67</xdr:row>
      <xdr:rowOff>119281</xdr:rowOff>
    </xdr:from>
    <xdr:to>
      <xdr:col>12</xdr:col>
      <xdr:colOff>610776</xdr:colOff>
      <xdr:row>79</xdr:row>
      <xdr:rowOff>265758</xdr:rowOff>
    </xdr:to>
    <xdr:graphicFrame macro="">
      <xdr:nvGraphicFramePr>
        <xdr:cNvPr id="3" name="グラフ 2">
          <a:extLst>
            <a:ext uri="{FF2B5EF4-FFF2-40B4-BE49-F238E27FC236}">
              <a16:creationId xmlns:a16="http://schemas.microsoft.com/office/drawing/2014/main" id="{D94EAC83-7D9C-EEB8-324F-0B2BE959F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297704</xdr:colOff>
      <xdr:row>67</xdr:row>
      <xdr:rowOff>16063</xdr:rowOff>
    </xdr:to>
    <xdr:sp macro="" textlink="">
      <xdr:nvSpPr>
        <xdr:cNvPr id="4" name="テキスト ボックス 3">
          <a:extLst>
            <a:ext uri="{FF2B5EF4-FFF2-40B4-BE49-F238E27FC236}">
              <a16:creationId xmlns:a16="http://schemas.microsoft.com/office/drawing/2014/main" id="{806524BC-9483-01B3-2870-179D37E0AC60}"/>
            </a:ext>
          </a:extLst>
        </xdr:cNvPr>
        <xdr:cNvSpPr txBox="1"/>
      </xdr:nvSpPr>
      <xdr:spPr>
        <a:xfrm>
          <a:off x="3302561" y="14149856"/>
          <a:ext cx="2863850" cy="433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13</xdr:col>
      <xdr:colOff>291352</xdr:colOff>
      <xdr:row>81</xdr:row>
      <xdr:rowOff>429054</xdr:rowOff>
    </xdr:from>
    <xdr:to>
      <xdr:col>25</xdr:col>
      <xdr:colOff>283771</xdr:colOff>
      <xdr:row>83</xdr:row>
      <xdr:rowOff>70492</xdr:rowOff>
    </xdr:to>
    <xdr:sp macro="" textlink="">
      <xdr:nvSpPr>
        <xdr:cNvPr id="11" name="テキスト ボックス 10">
          <a:extLst>
            <a:ext uri="{FF2B5EF4-FFF2-40B4-BE49-F238E27FC236}">
              <a16:creationId xmlns:a16="http://schemas.microsoft.com/office/drawing/2014/main" id="{B94C59EB-3900-F609-DF48-9D64A5E39F5D}"/>
            </a:ext>
          </a:extLst>
        </xdr:cNvPr>
        <xdr:cNvSpPr txBox="1"/>
      </xdr:nvSpPr>
      <xdr:spPr>
        <a:xfrm>
          <a:off x="6796927" y="21003054"/>
          <a:ext cx="8071598" cy="4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15</xdr:col>
          <xdr:colOff>47625</xdr:colOff>
          <xdr:row>8</xdr:row>
          <xdr:rowOff>47625</xdr:rowOff>
        </xdr:from>
        <xdr:to>
          <xdr:col>16</xdr:col>
          <xdr:colOff>485775</xdr:colOff>
          <xdr:row>8</xdr:row>
          <xdr:rowOff>295275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47625</xdr:rowOff>
        </xdr:from>
        <xdr:to>
          <xdr:col>18</xdr:col>
          <xdr:colOff>571500</xdr:colOff>
          <xdr:row>8</xdr:row>
          <xdr:rowOff>295275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xdr:row>
          <xdr:rowOff>47625</xdr:rowOff>
        </xdr:from>
        <xdr:to>
          <xdr:col>25</xdr:col>
          <xdr:colOff>476250</xdr:colOff>
          <xdr:row>8</xdr:row>
          <xdr:rowOff>295275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47625</xdr:rowOff>
        </xdr:from>
        <xdr:to>
          <xdr:col>27</xdr:col>
          <xdr:colOff>571500</xdr:colOff>
          <xdr:row>8</xdr:row>
          <xdr:rowOff>295275</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xdr:row>
          <xdr:rowOff>47625</xdr:rowOff>
        </xdr:from>
        <xdr:to>
          <xdr:col>29</xdr:col>
          <xdr:colOff>381000</xdr:colOff>
          <xdr:row>8</xdr:row>
          <xdr:rowOff>295275</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257175</xdr:rowOff>
        </xdr:from>
        <xdr:to>
          <xdr:col>21</xdr:col>
          <xdr:colOff>57150</xdr:colOff>
          <xdr:row>9</xdr:row>
          <xdr:rowOff>85725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266700</xdr:rowOff>
        </xdr:from>
        <xdr:to>
          <xdr:col>29</xdr:col>
          <xdr:colOff>485775</xdr:colOff>
          <xdr:row>9</xdr:row>
          <xdr:rowOff>104775</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oneCellAnchor>
    <xdr:from>
      <xdr:col>13</xdr:col>
      <xdr:colOff>400050</xdr:colOff>
      <xdr:row>21</xdr:row>
      <xdr:rowOff>219075</xdr:rowOff>
    </xdr:from>
    <xdr:ext cx="184731" cy="264560"/>
    <xdr:sp macro="" textlink="">
      <xdr:nvSpPr>
        <xdr:cNvPr id="12" name="テキスト ボックス 11">
          <a:extLst>
            <a:ext uri="{FF2B5EF4-FFF2-40B4-BE49-F238E27FC236}">
              <a16:creationId xmlns:a16="http://schemas.microsoft.com/office/drawing/2014/main" id="{B1F1A3C2-1645-B31A-D508-16C79C85429E}"/>
            </a:ext>
          </a:extLst>
        </xdr:cNvPr>
        <xdr:cNvSpPr txBox="1"/>
      </xdr:nvSpPr>
      <xdr:spPr>
        <a:xfrm>
          <a:off x="6257925" y="706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73</xdr:col>
      <xdr:colOff>0</xdr:colOff>
      <xdr:row>17</xdr:row>
      <xdr:rowOff>0</xdr:rowOff>
    </xdr:from>
    <xdr:to>
      <xdr:col>83</xdr:col>
      <xdr:colOff>244769</xdr:colOff>
      <xdr:row>19</xdr:row>
      <xdr:rowOff>5369</xdr:rowOff>
    </xdr:to>
    <xdr:grpSp>
      <xdr:nvGrpSpPr>
        <xdr:cNvPr id="18" name="グループ化 17">
          <a:extLst>
            <a:ext uri="{FF2B5EF4-FFF2-40B4-BE49-F238E27FC236}">
              <a16:creationId xmlns:a16="http://schemas.microsoft.com/office/drawing/2014/main" id="{25637776-B112-4C35-9F5E-FA36A53922BD}"/>
            </a:ext>
          </a:extLst>
        </xdr:cNvPr>
        <xdr:cNvGrpSpPr/>
      </xdr:nvGrpSpPr>
      <xdr:grpSpPr>
        <a:xfrm>
          <a:off x="22955250" y="5429250"/>
          <a:ext cx="8102894" cy="624494"/>
          <a:chOff x="48182894" y="6517821"/>
          <a:chExt cx="8136912" cy="675583"/>
        </a:xfrm>
      </xdr:grpSpPr>
      <xdr:sp macro="" textlink="">
        <xdr:nvSpPr>
          <xdr:cNvPr id="19" name="テキスト ボックス 18">
            <a:extLst>
              <a:ext uri="{FF2B5EF4-FFF2-40B4-BE49-F238E27FC236}">
                <a16:creationId xmlns:a16="http://schemas.microsoft.com/office/drawing/2014/main" id="{74534108-C208-3301-5EF6-813465E23B85}"/>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0" name="テキスト ボックス 19">
            <a:extLst>
              <a:ext uri="{FF2B5EF4-FFF2-40B4-BE49-F238E27FC236}">
                <a16:creationId xmlns:a16="http://schemas.microsoft.com/office/drawing/2014/main" id="{2C5E7533-DCA7-771A-B2EA-80F582AAC9B2}"/>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628288</xdr:colOff>
      <xdr:row>67</xdr:row>
      <xdr:rowOff>21397</xdr:rowOff>
    </xdr:from>
    <xdr:to>
      <xdr:col>20</xdr:col>
      <xdr:colOff>134836</xdr:colOff>
      <xdr:row>79</xdr:row>
      <xdr:rowOff>87517</xdr:rowOff>
    </xdr:to>
    <xdr:graphicFrame macro="">
      <xdr:nvGraphicFramePr>
        <xdr:cNvPr id="16" name="グラフ 15">
          <a:extLst>
            <a:ext uri="{FF2B5EF4-FFF2-40B4-BE49-F238E27FC236}">
              <a16:creationId xmlns:a16="http://schemas.microsoft.com/office/drawing/2014/main" id="{DB0F27F9-995F-CD01-5A70-DEFD44796E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285750</xdr:colOff>
          <xdr:row>99</xdr:row>
          <xdr:rowOff>285750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285750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276225</xdr:colOff>
          <xdr:row>99</xdr:row>
          <xdr:rowOff>285750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352425</xdr:colOff>
          <xdr:row>99</xdr:row>
          <xdr:rowOff>371475</xdr:rowOff>
        </xdr:to>
        <xdr:sp macro="" textlink="">
          <xdr:nvSpPr>
            <xdr:cNvPr id="1170" name="Group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372698</xdr:rowOff>
    </xdr:to>
    <xdr:sp macro="" textlink="">
      <xdr:nvSpPr>
        <xdr:cNvPr id="2" name="矢印: 右 1">
          <a:extLst>
            <a:ext uri="{FF2B5EF4-FFF2-40B4-BE49-F238E27FC236}">
              <a16:creationId xmlns:a16="http://schemas.microsoft.com/office/drawing/2014/main" id="{0DFF33E1-C1C6-438C-9CA2-ECBC0393C191}"/>
            </a:ext>
          </a:extLst>
        </xdr:cNvPr>
        <xdr:cNvSpPr/>
      </xdr:nvSpPr>
      <xdr:spPr>
        <a:xfrm>
          <a:off x="13134191" y="17343028"/>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295275</xdr:colOff>
          <xdr:row>84</xdr:row>
          <xdr:rowOff>295275</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571500</xdr:colOff>
          <xdr:row>84</xdr:row>
          <xdr:rowOff>295275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295275</xdr:colOff>
          <xdr:row>84</xdr:row>
          <xdr:rowOff>295275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285750</xdr:colOff>
          <xdr:row>85</xdr:row>
          <xdr:rowOff>285750</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314325</xdr:colOff>
          <xdr:row>86</xdr:row>
          <xdr:rowOff>285750</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285750</xdr:colOff>
          <xdr:row>87</xdr:row>
          <xdr:rowOff>285750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361950</xdr:colOff>
          <xdr:row>88</xdr:row>
          <xdr:rowOff>314325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314325</xdr:colOff>
          <xdr:row>89</xdr:row>
          <xdr:rowOff>285750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314325</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285750</xdr:colOff>
          <xdr:row>93</xdr:row>
          <xdr:rowOff>285750</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285750</xdr:colOff>
          <xdr:row>94</xdr:row>
          <xdr:rowOff>285750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285750</xdr:colOff>
          <xdr:row>95</xdr:row>
          <xdr:rowOff>285750</xdr:rowOff>
        </xdr:to>
        <xdr:sp macro="" textlink="">
          <xdr:nvSpPr>
            <xdr:cNvPr id="12304" name="Option Button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285750</xdr:colOff>
          <xdr:row>96</xdr:row>
          <xdr:rowOff>285750</xdr:rowOff>
        </xdr:to>
        <xdr:sp macro="" textlink="">
          <xdr:nvSpPr>
            <xdr:cNvPr id="12305" name="Option Button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12306" name="Option Button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314325</xdr:colOff>
          <xdr:row>98</xdr:row>
          <xdr:rowOff>285750</xdr:rowOff>
        </xdr:to>
        <xdr:sp macro="" textlink="">
          <xdr:nvSpPr>
            <xdr:cNvPr id="12307" name="Option Button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285750</xdr:colOff>
          <xdr:row>100</xdr:row>
          <xdr:rowOff>285750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285750</xdr:colOff>
          <xdr:row>101</xdr:row>
          <xdr:rowOff>285750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285750</xdr:colOff>
          <xdr:row>102</xdr:row>
          <xdr:rowOff>285750</xdr:rowOff>
        </xdr:to>
        <xdr:sp macro="" textlink="">
          <xdr:nvSpPr>
            <xdr:cNvPr id="12312" name="Option Button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285750</xdr:colOff>
          <xdr:row>104</xdr:row>
          <xdr:rowOff>285750</xdr:rowOff>
        </xdr:to>
        <xdr:sp macro="" textlink="">
          <xdr:nvSpPr>
            <xdr:cNvPr id="12314" name="Option Button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571500</xdr:colOff>
          <xdr:row>85</xdr:row>
          <xdr:rowOff>285750</xdr:rowOff>
        </xdr:to>
        <xdr:sp macro="" textlink="">
          <xdr:nvSpPr>
            <xdr:cNvPr id="12315" name="Option Button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619125</xdr:colOff>
          <xdr:row>87</xdr:row>
          <xdr:rowOff>285750</xdr:rowOff>
        </xdr:to>
        <xdr:sp macro="" textlink="">
          <xdr:nvSpPr>
            <xdr:cNvPr id="12317" name="Option Button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552450</xdr:colOff>
          <xdr:row>89</xdr:row>
          <xdr:rowOff>285750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552450</xdr:colOff>
          <xdr:row>90</xdr:row>
          <xdr:rowOff>314325</xdr:rowOff>
        </xdr:to>
        <xdr:sp macro="" textlink="">
          <xdr:nvSpPr>
            <xdr:cNvPr id="12320" name="Option Button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12323" name="Option Button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552450</xdr:colOff>
          <xdr:row>94</xdr:row>
          <xdr:rowOff>285750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571500</xdr:colOff>
          <xdr:row>96</xdr:row>
          <xdr:rowOff>285750</xdr:rowOff>
        </xdr:to>
        <xdr:sp macro="" textlink="">
          <xdr:nvSpPr>
            <xdr:cNvPr id="12326" name="Option Button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571500</xdr:colOff>
          <xdr:row>97</xdr:row>
          <xdr:rowOff>285750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571500</xdr:colOff>
          <xdr:row>100</xdr:row>
          <xdr:rowOff>285750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571500</xdr:colOff>
          <xdr:row>101</xdr:row>
          <xdr:rowOff>285750</xdr:rowOff>
        </xdr:to>
        <xdr:sp macro="" textlink="">
          <xdr:nvSpPr>
            <xdr:cNvPr id="12332" name="Option Button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571500</xdr:colOff>
          <xdr:row>102</xdr:row>
          <xdr:rowOff>285750</xdr:rowOff>
        </xdr:to>
        <xdr:sp macro="" textlink="">
          <xdr:nvSpPr>
            <xdr:cNvPr id="12333" name="Option Button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12334" name="Option Button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619125</xdr:colOff>
          <xdr:row>104</xdr:row>
          <xdr:rowOff>314325</xdr:rowOff>
        </xdr:to>
        <xdr:sp macro="" textlink="">
          <xdr:nvSpPr>
            <xdr:cNvPr id="12335" name="Option Button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285750</xdr:colOff>
          <xdr:row>85</xdr:row>
          <xdr:rowOff>285750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266700</xdr:colOff>
          <xdr:row>86</xdr:row>
          <xdr:rowOff>285750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285750</xdr:colOff>
          <xdr:row>87</xdr:row>
          <xdr:rowOff>285750</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285750</xdr:colOff>
          <xdr:row>88</xdr:row>
          <xdr:rowOff>314325</xdr:rowOff>
        </xdr:to>
        <xdr:sp macro="" textlink="">
          <xdr:nvSpPr>
            <xdr:cNvPr id="12339" name="Option Button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285750</xdr:colOff>
          <xdr:row>89</xdr:row>
          <xdr:rowOff>285750</xdr:rowOff>
        </xdr:to>
        <xdr:sp macro="" textlink="">
          <xdr:nvSpPr>
            <xdr:cNvPr id="12340" name="Option Button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314325</xdr:rowOff>
        </xdr:to>
        <xdr:sp macro="" textlink="">
          <xdr:nvSpPr>
            <xdr:cNvPr id="12341" name="Option Button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12342" name="Option Button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285750</xdr:colOff>
          <xdr:row>92</xdr:row>
          <xdr:rowOff>285750</xdr:rowOff>
        </xdr:to>
        <xdr:sp macro="" textlink="">
          <xdr:nvSpPr>
            <xdr:cNvPr id="12343" name="Option Button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285750</xdr:colOff>
          <xdr:row>93</xdr:row>
          <xdr:rowOff>285750</xdr:rowOff>
        </xdr:to>
        <xdr:sp macro="" textlink="">
          <xdr:nvSpPr>
            <xdr:cNvPr id="12344" name="Option Button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285750</xdr:colOff>
          <xdr:row>94</xdr:row>
          <xdr:rowOff>285750</xdr:rowOff>
        </xdr:to>
        <xdr:sp macro="" textlink="">
          <xdr:nvSpPr>
            <xdr:cNvPr id="12345" name="Option Button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285750</xdr:colOff>
          <xdr:row>96</xdr:row>
          <xdr:rowOff>285750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314325</xdr:colOff>
          <xdr:row>97</xdr:row>
          <xdr:rowOff>285750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12349" name="Option Button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333375</xdr:rowOff>
        </xdr:to>
        <xdr:sp macro="" textlink="">
          <xdr:nvSpPr>
            <xdr:cNvPr id="12356" name="Group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361950</xdr:colOff>
          <xdr:row>85</xdr:row>
          <xdr:rowOff>381000</xdr:rowOff>
        </xdr:to>
        <xdr:sp macro="" textlink="">
          <xdr:nvSpPr>
            <xdr:cNvPr id="12357" name="Group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361950</xdr:colOff>
          <xdr:row>86</xdr:row>
          <xdr:rowOff>381000</xdr:rowOff>
        </xdr:to>
        <xdr:sp macro="" textlink="">
          <xdr:nvSpPr>
            <xdr:cNvPr id="12358" name="Group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361950</xdr:colOff>
          <xdr:row>87</xdr:row>
          <xdr:rowOff>333375</xdr:rowOff>
        </xdr:to>
        <xdr:sp macro="" textlink="">
          <xdr:nvSpPr>
            <xdr:cNvPr id="12359" name="Group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361950</xdr:colOff>
          <xdr:row>88</xdr:row>
          <xdr:rowOff>381000</xdr:rowOff>
        </xdr:to>
        <xdr:sp macro="" textlink="">
          <xdr:nvSpPr>
            <xdr:cNvPr id="12360" name="Group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361950</xdr:colOff>
          <xdr:row>89</xdr:row>
          <xdr:rowOff>381000</xdr:rowOff>
        </xdr:to>
        <xdr:sp macro="" textlink="">
          <xdr:nvSpPr>
            <xdr:cNvPr id="12361" name="Group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361950</xdr:colOff>
          <xdr:row>90</xdr:row>
          <xdr:rowOff>381000</xdr:rowOff>
        </xdr:to>
        <xdr:sp macro="" textlink="">
          <xdr:nvSpPr>
            <xdr:cNvPr id="12362" name="Group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361950</xdr:colOff>
          <xdr:row>91</xdr:row>
          <xdr:rowOff>381000</xdr:rowOff>
        </xdr:to>
        <xdr:sp macro="" textlink="">
          <xdr:nvSpPr>
            <xdr:cNvPr id="12363" name="Group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361950</xdr:colOff>
          <xdr:row>92</xdr:row>
          <xdr:rowOff>381000</xdr:rowOff>
        </xdr:to>
        <xdr:sp macro="" textlink="">
          <xdr:nvSpPr>
            <xdr:cNvPr id="12364" name="Group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361950</xdr:colOff>
          <xdr:row>93</xdr:row>
          <xdr:rowOff>381000</xdr:rowOff>
        </xdr:to>
        <xdr:sp macro="" textlink="">
          <xdr:nvSpPr>
            <xdr:cNvPr id="12365" name="Group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361950</xdr:colOff>
          <xdr:row>94</xdr:row>
          <xdr:rowOff>381000</xdr:rowOff>
        </xdr:to>
        <xdr:sp macro="" textlink="">
          <xdr:nvSpPr>
            <xdr:cNvPr id="12366" name="Group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361950</xdr:colOff>
          <xdr:row>95</xdr:row>
          <xdr:rowOff>381000</xdr:rowOff>
        </xdr:to>
        <xdr:sp macro="" textlink="">
          <xdr:nvSpPr>
            <xdr:cNvPr id="12367" name="Group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361950</xdr:colOff>
          <xdr:row>96</xdr:row>
          <xdr:rowOff>381000</xdr:rowOff>
        </xdr:to>
        <xdr:sp macro="" textlink="">
          <xdr:nvSpPr>
            <xdr:cNvPr id="12368" name="Group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361950</xdr:colOff>
          <xdr:row>97</xdr:row>
          <xdr:rowOff>381000</xdr:rowOff>
        </xdr:to>
        <xdr:sp macro="" textlink="">
          <xdr:nvSpPr>
            <xdr:cNvPr id="12369" name="Group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361950</xdr:colOff>
          <xdr:row>98</xdr:row>
          <xdr:rowOff>381000</xdr:rowOff>
        </xdr:to>
        <xdr:sp macro="" textlink="">
          <xdr:nvSpPr>
            <xdr:cNvPr id="12370" name="Group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12373" name="Group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361950</xdr:colOff>
          <xdr:row>101</xdr:row>
          <xdr:rowOff>381000</xdr:rowOff>
        </xdr:to>
        <xdr:sp macro="" textlink="">
          <xdr:nvSpPr>
            <xdr:cNvPr id="12374" name="Group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361950</xdr:colOff>
          <xdr:row>102</xdr:row>
          <xdr:rowOff>333375</xdr:rowOff>
        </xdr:to>
        <xdr:sp macro="" textlink="">
          <xdr:nvSpPr>
            <xdr:cNvPr id="12375" name="Group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361950</xdr:colOff>
          <xdr:row>103</xdr:row>
          <xdr:rowOff>381000</xdr:rowOff>
        </xdr:to>
        <xdr:sp macro="" textlink="">
          <xdr:nvSpPr>
            <xdr:cNvPr id="12376" name="Group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361950</xdr:colOff>
          <xdr:row>104</xdr:row>
          <xdr:rowOff>333375</xdr:rowOff>
        </xdr:to>
        <xdr:sp macro="" textlink="">
          <xdr:nvSpPr>
            <xdr:cNvPr id="12377" name="Group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229522</xdr:colOff>
      <xdr:row>66</xdr:row>
      <xdr:rowOff>266521</xdr:rowOff>
    </xdr:from>
    <xdr:to>
      <xdr:col>29</xdr:col>
      <xdr:colOff>419103</xdr:colOff>
      <xdr:row>79</xdr:row>
      <xdr:rowOff>277012</xdr:rowOff>
    </xdr:to>
    <xdr:graphicFrame macro="">
      <xdr:nvGraphicFramePr>
        <xdr:cNvPr id="4" name="グラフ 3">
          <a:extLst>
            <a:ext uri="{FF2B5EF4-FFF2-40B4-BE49-F238E27FC236}">
              <a16:creationId xmlns:a16="http://schemas.microsoft.com/office/drawing/2014/main" id="{AC8A21E8-6A20-473C-8B79-97B12CBD5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120635</xdr:rowOff>
    </xdr:from>
    <xdr:to>
      <xdr:col>12</xdr:col>
      <xdr:colOff>593458</xdr:colOff>
      <xdr:row>79</xdr:row>
      <xdr:rowOff>294308</xdr:rowOff>
    </xdr:to>
    <xdr:graphicFrame macro="">
      <xdr:nvGraphicFramePr>
        <xdr:cNvPr id="5" name="グラフ 4">
          <a:extLst>
            <a:ext uri="{FF2B5EF4-FFF2-40B4-BE49-F238E27FC236}">
              <a16:creationId xmlns:a16="http://schemas.microsoft.com/office/drawing/2014/main" id="{F16E6DAE-CDCC-4440-ABA2-44F0758A5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294529</xdr:colOff>
      <xdr:row>67</xdr:row>
      <xdr:rowOff>16062</xdr:rowOff>
    </xdr:to>
    <xdr:sp macro="" textlink="">
      <xdr:nvSpPr>
        <xdr:cNvPr id="6" name="テキスト ボックス 5">
          <a:extLst>
            <a:ext uri="{FF2B5EF4-FFF2-40B4-BE49-F238E27FC236}">
              <a16:creationId xmlns:a16="http://schemas.microsoft.com/office/drawing/2014/main" id="{2F0E0419-9DE4-4706-8A92-2AE7F5D92104}"/>
            </a:ext>
          </a:extLst>
        </xdr:cNvPr>
        <xdr:cNvSpPr txBox="1"/>
      </xdr:nvSpPr>
      <xdr:spPr>
        <a:xfrm>
          <a:off x="3294343" y="1418179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447221</xdr:colOff>
      <xdr:row>52</xdr:row>
      <xdr:rowOff>104637</xdr:rowOff>
    </xdr:to>
    <xdr:sp macro="" textlink="">
      <xdr:nvSpPr>
        <xdr:cNvPr id="11" name="矢印: 右 10">
          <a:extLst>
            <a:ext uri="{FF2B5EF4-FFF2-40B4-BE49-F238E27FC236}">
              <a16:creationId xmlns:a16="http://schemas.microsoft.com/office/drawing/2014/main" id="{3FFE3D54-703B-88A9-ACA0-0E9BD326766E}"/>
            </a:ext>
          </a:extLst>
        </xdr:cNvPr>
        <xdr:cNvSpPr/>
      </xdr:nvSpPr>
      <xdr:spPr>
        <a:xfrm>
          <a:off x="6154964" y="13250289"/>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924485</xdr:colOff>
      <xdr:row>5</xdr:row>
      <xdr:rowOff>22412</xdr:rowOff>
    </xdr:from>
    <xdr:to>
      <xdr:col>67</xdr:col>
      <xdr:colOff>33909</xdr:colOff>
      <xdr:row>7</xdr:row>
      <xdr:rowOff>8032</xdr:rowOff>
    </xdr:to>
    <xdr:sp macro="" textlink="">
      <xdr:nvSpPr>
        <xdr:cNvPr id="14" name="テキスト ボックス 13">
          <a:extLst>
            <a:ext uri="{FF2B5EF4-FFF2-40B4-BE49-F238E27FC236}">
              <a16:creationId xmlns:a16="http://schemas.microsoft.com/office/drawing/2014/main" id="{49791E6F-68FF-08C6-8B87-DD8A3CA79814}"/>
            </a:ext>
          </a:extLst>
        </xdr:cNvPr>
        <xdr:cNvSpPr txBox="1"/>
      </xdr:nvSpPr>
      <xdr:spPr>
        <a:xfrm>
          <a:off x="13878485" y="1845769"/>
          <a:ext cx="4501563" cy="421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616323</xdr:colOff>
      <xdr:row>5</xdr:row>
      <xdr:rowOff>22412</xdr:rowOff>
    </xdr:from>
    <xdr:to>
      <xdr:col>21</xdr:col>
      <xdr:colOff>560294</xdr:colOff>
      <xdr:row>7</xdr:row>
      <xdr:rowOff>8032</xdr:rowOff>
    </xdr:to>
    <xdr:sp macro="" textlink="">
      <xdr:nvSpPr>
        <xdr:cNvPr id="15" name="テキスト ボックス 14">
          <a:extLst>
            <a:ext uri="{FF2B5EF4-FFF2-40B4-BE49-F238E27FC236}">
              <a16:creationId xmlns:a16="http://schemas.microsoft.com/office/drawing/2014/main" id="{A4B66FE0-D898-7853-7CA9-70026FF8E669}"/>
            </a:ext>
          </a:extLst>
        </xdr:cNvPr>
        <xdr:cNvSpPr txBox="1"/>
      </xdr:nvSpPr>
      <xdr:spPr>
        <a:xfrm>
          <a:off x="7788088"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627529</xdr:colOff>
      <xdr:row>5</xdr:row>
      <xdr:rowOff>22412</xdr:rowOff>
    </xdr:from>
    <xdr:to>
      <xdr:col>12</xdr:col>
      <xdr:colOff>134471</xdr:colOff>
      <xdr:row>7</xdr:row>
      <xdr:rowOff>8032</xdr:rowOff>
    </xdr:to>
    <xdr:sp macro="" textlink="">
      <xdr:nvSpPr>
        <xdr:cNvPr id="16" name="テキスト ボックス 15">
          <a:extLst>
            <a:ext uri="{FF2B5EF4-FFF2-40B4-BE49-F238E27FC236}">
              <a16:creationId xmlns:a16="http://schemas.microsoft.com/office/drawing/2014/main" id="{407B39C2-0B2C-BA38-1B9E-69E6D8BCD1DA}"/>
            </a:ext>
          </a:extLst>
        </xdr:cNvPr>
        <xdr:cNvSpPr txBox="1"/>
      </xdr:nvSpPr>
      <xdr:spPr>
        <a:xfrm>
          <a:off x="1512794" y="1837765"/>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479516</xdr:colOff>
          <xdr:row>48</xdr:row>
          <xdr:rowOff>148714</xdr:rowOff>
        </xdr:from>
        <xdr:to>
          <xdr:col>29</xdr:col>
          <xdr:colOff>0</xdr:colOff>
          <xdr:row>55</xdr:row>
          <xdr:rowOff>1</xdr:rowOff>
        </xdr:to>
        <xdr:pic>
          <xdr:nvPicPr>
            <xdr:cNvPr id="22" name="図 21">
              <a:extLst>
                <a:ext uri="{FF2B5EF4-FFF2-40B4-BE49-F238E27FC236}">
                  <a16:creationId xmlns:a16="http://schemas.microsoft.com/office/drawing/2014/main" id="{4D082847-F4D5-4B1B-DBC7-E7E204898A19}"/>
                </a:ext>
              </a:extLst>
            </xdr:cNvPr>
            <xdr:cNvPicPr>
              <a:picLocks noChangeAspect="1" noChangeArrowheads="1"/>
              <a:extLst>
                <a:ext uri="{84589F7E-364E-4C9E-8A38-B11213B215E9}">
                  <a14:cameraTool cellRange="各年度エネルギー使用量比較!$A$2:$D$9" spid="_x0000_s12995"/>
                </a:ext>
              </a:extLst>
            </xdr:cNvPicPr>
          </xdr:nvPicPr>
          <xdr:blipFill>
            <a:blip xmlns:r="http://schemas.openxmlformats.org/officeDocument/2006/relationships" r:embed="rId3"/>
            <a:srcRect/>
            <a:stretch>
              <a:fillRect/>
            </a:stretch>
          </xdr:blipFill>
          <xdr:spPr bwMode="auto">
            <a:xfrm>
              <a:off x="12780373" y="12259071"/>
              <a:ext cx="4405448"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47625</xdr:rowOff>
        </xdr:from>
        <xdr:to>
          <xdr:col>16</xdr:col>
          <xdr:colOff>476250</xdr:colOff>
          <xdr:row>8</xdr:row>
          <xdr:rowOff>285750</xdr:rowOff>
        </xdr:to>
        <xdr:sp macro="" textlink="">
          <xdr:nvSpPr>
            <xdr:cNvPr id="12501" name="Option Button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47625</xdr:rowOff>
        </xdr:from>
        <xdr:to>
          <xdr:col>18</xdr:col>
          <xdr:colOff>571500</xdr:colOff>
          <xdr:row>8</xdr:row>
          <xdr:rowOff>285750</xdr:rowOff>
        </xdr:to>
        <xdr:sp macro="" textlink="">
          <xdr:nvSpPr>
            <xdr:cNvPr id="12502" name="Option Button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47625</xdr:rowOff>
        </xdr:from>
        <xdr:to>
          <xdr:col>25</xdr:col>
          <xdr:colOff>476250</xdr:colOff>
          <xdr:row>8</xdr:row>
          <xdr:rowOff>285750</xdr:rowOff>
        </xdr:to>
        <xdr:sp macro="" textlink="">
          <xdr:nvSpPr>
            <xdr:cNvPr id="12503" name="Option Button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xdr:row>
          <xdr:rowOff>47625</xdr:rowOff>
        </xdr:from>
        <xdr:to>
          <xdr:col>27</xdr:col>
          <xdr:colOff>571500</xdr:colOff>
          <xdr:row>8</xdr:row>
          <xdr:rowOff>285750</xdr:rowOff>
        </xdr:to>
        <xdr:sp macro="" textlink="">
          <xdr:nvSpPr>
            <xdr:cNvPr id="12504" name="Option Button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8</xdr:row>
          <xdr:rowOff>47625</xdr:rowOff>
        </xdr:from>
        <xdr:to>
          <xdr:col>29</xdr:col>
          <xdr:colOff>381000</xdr:colOff>
          <xdr:row>8</xdr:row>
          <xdr:rowOff>285750</xdr:rowOff>
        </xdr:to>
        <xdr:sp macro="" textlink="">
          <xdr:nvSpPr>
            <xdr:cNvPr id="12505" name="Option Button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400050</xdr:colOff>
          <xdr:row>7</xdr:row>
          <xdr:rowOff>257175</xdr:rowOff>
        </xdr:from>
        <xdr:to>
          <xdr:col>21</xdr:col>
          <xdr:colOff>76200</xdr:colOff>
          <xdr:row>9</xdr:row>
          <xdr:rowOff>95250</xdr:rowOff>
        </xdr:to>
        <xdr:sp macro="" textlink="">
          <xdr:nvSpPr>
            <xdr:cNvPr id="12506" name="Group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476250</xdr:colOff>
          <xdr:row>7</xdr:row>
          <xdr:rowOff>266700</xdr:rowOff>
        </xdr:from>
        <xdr:to>
          <xdr:col>29</xdr:col>
          <xdr:colOff>504825</xdr:colOff>
          <xdr:row>9</xdr:row>
          <xdr:rowOff>95250</xdr:rowOff>
        </xdr:to>
        <xdr:sp macro="" textlink="">
          <xdr:nvSpPr>
            <xdr:cNvPr id="12507" name="Group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291352</xdr:colOff>
      <xdr:row>82</xdr:row>
      <xdr:rowOff>0</xdr:rowOff>
    </xdr:from>
    <xdr:to>
      <xdr:col>25</xdr:col>
      <xdr:colOff>267689</xdr:colOff>
      <xdr:row>83</xdr:row>
      <xdr:rowOff>89672</xdr:rowOff>
    </xdr:to>
    <xdr:sp macro="" textlink="">
      <xdr:nvSpPr>
        <xdr:cNvPr id="19" name="テキスト ボックス 18">
          <a:extLst>
            <a:ext uri="{FF2B5EF4-FFF2-40B4-BE49-F238E27FC236}">
              <a16:creationId xmlns:a16="http://schemas.microsoft.com/office/drawing/2014/main" id="{167E1483-31D7-4342-A3FF-9485174A22C5}"/>
            </a:ext>
          </a:extLst>
        </xdr:cNvPr>
        <xdr:cNvSpPr txBox="1"/>
      </xdr:nvSpPr>
      <xdr:spPr>
        <a:xfrm>
          <a:off x="6813176"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9ECF3F9D-4329-4EAE-9991-1141C4E2D293}"/>
            </a:ext>
          </a:extLst>
        </xdr:cNvPr>
        <xdr:cNvGrpSpPr/>
      </xdr:nvGrpSpPr>
      <xdr:grpSpPr>
        <a:xfrm>
          <a:off x="22955250" y="5429250"/>
          <a:ext cx="8038860" cy="624494"/>
          <a:chOff x="48182894" y="6517821"/>
          <a:chExt cx="8136912" cy="675583"/>
        </a:xfrm>
      </xdr:grpSpPr>
      <xdr:sp macro="" textlink="">
        <xdr:nvSpPr>
          <xdr:cNvPr id="20" name="テキスト ボックス 19">
            <a:extLst>
              <a:ext uri="{FF2B5EF4-FFF2-40B4-BE49-F238E27FC236}">
                <a16:creationId xmlns:a16="http://schemas.microsoft.com/office/drawing/2014/main" id="{97C8AF68-7545-AFA4-9387-E77421699E60}"/>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1" name="テキスト ボックス 20">
            <a:extLst>
              <a:ext uri="{FF2B5EF4-FFF2-40B4-BE49-F238E27FC236}">
                <a16:creationId xmlns:a16="http://schemas.microsoft.com/office/drawing/2014/main" id="{E3F2D547-C6A4-2A16-42C8-2086F3CB1A1C}"/>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13</xdr:col>
      <xdr:colOff>118390</xdr:colOff>
      <xdr:row>66</xdr:row>
      <xdr:rowOff>375615</xdr:rowOff>
    </xdr:from>
    <xdr:to>
      <xdr:col>20</xdr:col>
      <xdr:colOff>6374</xdr:colOff>
      <xdr:row>79</xdr:row>
      <xdr:rowOff>219581</xdr:rowOff>
    </xdr:to>
    <xdr:graphicFrame macro="">
      <xdr:nvGraphicFramePr>
        <xdr:cNvPr id="24" name="グラフ 23">
          <a:extLst>
            <a:ext uri="{FF2B5EF4-FFF2-40B4-BE49-F238E27FC236}">
              <a16:creationId xmlns:a16="http://schemas.microsoft.com/office/drawing/2014/main" id="{E8650D7A-8AAC-4386-B745-9E2C0F40D84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285750</xdr:colOff>
          <xdr:row>99</xdr:row>
          <xdr:rowOff>285750</xdr:rowOff>
        </xdr:to>
        <xdr:sp macro="" textlink="">
          <xdr:nvSpPr>
            <xdr:cNvPr id="12953" name="Option Button 665"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12954" name="Option Button 666"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12955" name="Option Button 667"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361950</xdr:colOff>
          <xdr:row>99</xdr:row>
          <xdr:rowOff>381000</xdr:rowOff>
        </xdr:to>
        <xdr:sp macro="" textlink="">
          <xdr:nvSpPr>
            <xdr:cNvPr id="12956" name="Group Box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372698</xdr:rowOff>
    </xdr:to>
    <xdr:sp macro="" textlink="">
      <xdr:nvSpPr>
        <xdr:cNvPr id="2" name="矢印: 右 1">
          <a:extLst>
            <a:ext uri="{FF2B5EF4-FFF2-40B4-BE49-F238E27FC236}">
              <a16:creationId xmlns:a16="http://schemas.microsoft.com/office/drawing/2014/main" id="{D269145B-EDE2-4B84-AA9D-DD60555AD59B}"/>
            </a:ext>
          </a:extLst>
        </xdr:cNvPr>
        <xdr:cNvSpPr/>
      </xdr:nvSpPr>
      <xdr:spPr>
        <a:xfrm>
          <a:off x="13134191" y="17343028"/>
          <a:ext cx="190500" cy="209306"/>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285750</xdr:colOff>
          <xdr:row>84</xdr:row>
          <xdr:rowOff>285750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600075</xdr:colOff>
          <xdr:row>84</xdr:row>
          <xdr:rowOff>285750</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285750</xdr:colOff>
          <xdr:row>84</xdr:row>
          <xdr:rowOff>285750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381000</xdr:colOff>
          <xdr:row>85</xdr:row>
          <xdr:rowOff>285750</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333375</xdr:colOff>
          <xdr:row>86</xdr:row>
          <xdr:rowOff>285750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285750</xdr:colOff>
          <xdr:row>87</xdr:row>
          <xdr:rowOff>285750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285750</xdr:colOff>
          <xdr:row>88</xdr:row>
          <xdr:rowOff>314325</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285750</xdr:colOff>
          <xdr:row>89</xdr:row>
          <xdr:rowOff>285750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285750</xdr:colOff>
          <xdr:row>90</xdr:row>
          <xdr:rowOff>314325</xdr:rowOff>
        </xdr:to>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285750</xdr:colOff>
          <xdr:row>91</xdr:row>
          <xdr:rowOff>285750</xdr:rowOff>
        </xdr:to>
        <xdr:sp macro="" textlink="">
          <xdr:nvSpPr>
            <xdr:cNvPr id="22540" name="Option Button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285750</xdr:colOff>
          <xdr:row>92</xdr:row>
          <xdr:rowOff>285750</xdr:rowOff>
        </xdr:to>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285750</xdr:colOff>
          <xdr:row>93</xdr:row>
          <xdr:rowOff>285750</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285750</xdr:colOff>
          <xdr:row>94</xdr:row>
          <xdr:rowOff>285750</xdr:rowOff>
        </xdr:to>
        <xdr:sp macro="" textlink="">
          <xdr:nvSpPr>
            <xdr:cNvPr id="22543" name="Option Button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285750</xdr:colOff>
          <xdr:row>95</xdr:row>
          <xdr:rowOff>285750</xdr:rowOff>
        </xdr:to>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285750</xdr:colOff>
          <xdr:row>96</xdr:row>
          <xdr:rowOff>285750</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22546" name="Option Button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285750</xdr:colOff>
          <xdr:row>98</xdr:row>
          <xdr:rowOff>285750</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285750</xdr:colOff>
          <xdr:row>100</xdr:row>
          <xdr:rowOff>285750</xdr:rowOff>
        </xdr:to>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333375</xdr:colOff>
          <xdr:row>101</xdr:row>
          <xdr:rowOff>285750</xdr:rowOff>
        </xdr:to>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333375</xdr:colOff>
          <xdr:row>102</xdr:row>
          <xdr:rowOff>285750</xdr:rowOff>
        </xdr:to>
        <xdr:sp macro="" textlink="">
          <xdr:nvSpPr>
            <xdr:cNvPr id="22552" name="Option Button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333375</xdr:colOff>
          <xdr:row>103</xdr:row>
          <xdr:rowOff>285750</xdr:rowOff>
        </xdr:to>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285750</xdr:colOff>
          <xdr:row>104</xdr:row>
          <xdr:rowOff>285750</xdr:rowOff>
        </xdr:to>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18</xdr:col>
          <xdr:colOff>571500</xdr:colOff>
          <xdr:row>85</xdr:row>
          <xdr:rowOff>285750</xdr:rowOff>
        </xdr:to>
        <xdr:sp macro="" textlink="">
          <xdr:nvSpPr>
            <xdr:cNvPr id="22555" name="Option Button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22556" name="Option Button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552450</xdr:colOff>
          <xdr:row>87</xdr:row>
          <xdr:rowOff>285750</xdr:rowOff>
        </xdr:to>
        <xdr:sp macro="" textlink="">
          <xdr:nvSpPr>
            <xdr:cNvPr id="22557" name="Option Button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22558" name="Option Button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571500</xdr:colOff>
          <xdr:row>89</xdr:row>
          <xdr:rowOff>285750</xdr:rowOff>
        </xdr:to>
        <xdr:sp macro="" textlink="">
          <xdr:nvSpPr>
            <xdr:cNvPr id="22559" name="Option Button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552450</xdr:colOff>
          <xdr:row>90</xdr:row>
          <xdr:rowOff>314325</xdr:rowOff>
        </xdr:to>
        <xdr:sp macro="" textlink="">
          <xdr:nvSpPr>
            <xdr:cNvPr id="22560" name="Option Button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22561" name="Option Button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22562" name="Option Button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22563" name="Option Button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552450</xdr:colOff>
          <xdr:row>94</xdr:row>
          <xdr:rowOff>285750</xdr:rowOff>
        </xdr:to>
        <xdr:sp macro="" textlink="">
          <xdr:nvSpPr>
            <xdr:cNvPr id="22564" name="Option Button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22565" name="Option Button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552450</xdr:colOff>
          <xdr:row>96</xdr:row>
          <xdr:rowOff>285750</xdr:rowOff>
        </xdr:to>
        <xdr:sp macro="" textlink="">
          <xdr:nvSpPr>
            <xdr:cNvPr id="22566" name="Option Button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571500</xdr:colOff>
          <xdr:row>97</xdr:row>
          <xdr:rowOff>285750</xdr:rowOff>
        </xdr:to>
        <xdr:sp macro="" textlink="">
          <xdr:nvSpPr>
            <xdr:cNvPr id="22567" name="Option Button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22568" name="Option Button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18</xdr:col>
          <xdr:colOff>571500</xdr:colOff>
          <xdr:row>100</xdr:row>
          <xdr:rowOff>285750</xdr:rowOff>
        </xdr:to>
        <xdr:sp macro="" textlink="">
          <xdr:nvSpPr>
            <xdr:cNvPr id="22571" name="Option Button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600075</xdr:colOff>
          <xdr:row>101</xdr:row>
          <xdr:rowOff>285750</xdr:rowOff>
        </xdr:to>
        <xdr:sp macro="" textlink="">
          <xdr:nvSpPr>
            <xdr:cNvPr id="22572" name="Option Button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619125</xdr:colOff>
          <xdr:row>102</xdr:row>
          <xdr:rowOff>285750</xdr:rowOff>
        </xdr:to>
        <xdr:sp macro="" textlink="">
          <xdr:nvSpPr>
            <xdr:cNvPr id="22573" name="Option Button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22574" name="Option Button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571500</xdr:colOff>
          <xdr:row>104</xdr:row>
          <xdr:rowOff>314325</xdr:rowOff>
        </xdr:to>
        <xdr:sp macro="" textlink="">
          <xdr:nvSpPr>
            <xdr:cNvPr id="22575" name="Option Button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333375</xdr:colOff>
          <xdr:row>85</xdr:row>
          <xdr:rowOff>285750</xdr:rowOff>
        </xdr:to>
        <xdr:sp macro="" textlink="">
          <xdr:nvSpPr>
            <xdr:cNvPr id="22576" name="Option Button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285750</xdr:colOff>
          <xdr:row>86</xdr:row>
          <xdr:rowOff>285750</xdr:rowOff>
        </xdr:to>
        <xdr:sp macro="" textlink="">
          <xdr:nvSpPr>
            <xdr:cNvPr id="22577" name="Option Button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285750</xdr:colOff>
          <xdr:row>87</xdr:row>
          <xdr:rowOff>285750</xdr:rowOff>
        </xdr:to>
        <xdr:sp macro="" textlink="">
          <xdr:nvSpPr>
            <xdr:cNvPr id="22578" name="Option Button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285750</xdr:colOff>
          <xdr:row>88</xdr:row>
          <xdr:rowOff>314325</xdr:rowOff>
        </xdr:to>
        <xdr:sp macro="" textlink="">
          <xdr:nvSpPr>
            <xdr:cNvPr id="22579" name="Option Button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285750</xdr:colOff>
          <xdr:row>89</xdr:row>
          <xdr:rowOff>285750</xdr:rowOff>
        </xdr:to>
        <xdr:sp macro="" textlink="">
          <xdr:nvSpPr>
            <xdr:cNvPr id="22580" name="Option Button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285750</xdr:colOff>
          <xdr:row>90</xdr:row>
          <xdr:rowOff>314325</xdr:rowOff>
        </xdr:to>
        <xdr:sp macro="" textlink="">
          <xdr:nvSpPr>
            <xdr:cNvPr id="22581" name="Option Button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22582" name="Option Button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314325</xdr:colOff>
          <xdr:row>92</xdr:row>
          <xdr:rowOff>285750</xdr:rowOff>
        </xdr:to>
        <xdr:sp macro="" textlink="">
          <xdr:nvSpPr>
            <xdr:cNvPr id="22583" name="Option Button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285750</xdr:colOff>
          <xdr:row>93</xdr:row>
          <xdr:rowOff>285750</xdr:rowOff>
        </xdr:to>
        <xdr:sp macro="" textlink="">
          <xdr:nvSpPr>
            <xdr:cNvPr id="22584" name="Option Button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285750</xdr:colOff>
          <xdr:row>94</xdr:row>
          <xdr:rowOff>285750</xdr:rowOff>
        </xdr:to>
        <xdr:sp macro="" textlink="">
          <xdr:nvSpPr>
            <xdr:cNvPr id="22585" name="Option Button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22586" name="Option Button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314325</xdr:colOff>
          <xdr:row>96</xdr:row>
          <xdr:rowOff>285750</xdr:rowOff>
        </xdr:to>
        <xdr:sp macro="" textlink="">
          <xdr:nvSpPr>
            <xdr:cNvPr id="22587" name="Option Button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285750</xdr:colOff>
          <xdr:row>97</xdr:row>
          <xdr:rowOff>285750</xdr:rowOff>
        </xdr:to>
        <xdr:sp macro="" textlink="">
          <xdr:nvSpPr>
            <xdr:cNvPr id="22588" name="Option Button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22589" name="Option Button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342900</xdr:rowOff>
        </xdr:to>
        <xdr:sp macro="" textlink="">
          <xdr:nvSpPr>
            <xdr:cNvPr id="22596" name="Group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381000</xdr:colOff>
          <xdr:row>85</xdr:row>
          <xdr:rowOff>381000</xdr:rowOff>
        </xdr:to>
        <xdr:sp macro="" textlink="">
          <xdr:nvSpPr>
            <xdr:cNvPr id="22597" name="Group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381000</xdr:colOff>
          <xdr:row>86</xdr:row>
          <xdr:rowOff>381000</xdr:rowOff>
        </xdr:to>
        <xdr:sp macro="" textlink="">
          <xdr:nvSpPr>
            <xdr:cNvPr id="22598" name="Group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381000</xdr:colOff>
          <xdr:row>87</xdr:row>
          <xdr:rowOff>333375</xdr:rowOff>
        </xdr:to>
        <xdr:sp macro="" textlink="">
          <xdr:nvSpPr>
            <xdr:cNvPr id="22599" name="Group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381000</xdr:colOff>
          <xdr:row>88</xdr:row>
          <xdr:rowOff>381000</xdr:rowOff>
        </xdr:to>
        <xdr:sp macro="" textlink="">
          <xdr:nvSpPr>
            <xdr:cNvPr id="22600" name="Group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381000</xdr:colOff>
          <xdr:row>89</xdr:row>
          <xdr:rowOff>381000</xdr:rowOff>
        </xdr:to>
        <xdr:sp macro="" textlink="">
          <xdr:nvSpPr>
            <xdr:cNvPr id="22601" name="Group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381000</xdr:colOff>
          <xdr:row>90</xdr:row>
          <xdr:rowOff>381000</xdr:rowOff>
        </xdr:to>
        <xdr:sp macro="" textlink="">
          <xdr:nvSpPr>
            <xdr:cNvPr id="22602" name="Group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381000</xdr:colOff>
          <xdr:row>91</xdr:row>
          <xdr:rowOff>381000</xdr:rowOff>
        </xdr:to>
        <xdr:sp macro="" textlink="">
          <xdr:nvSpPr>
            <xdr:cNvPr id="22603" name="Group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381000</xdr:colOff>
          <xdr:row>92</xdr:row>
          <xdr:rowOff>381000</xdr:rowOff>
        </xdr:to>
        <xdr:sp macro="" textlink="">
          <xdr:nvSpPr>
            <xdr:cNvPr id="22604" name="Group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381000</xdr:colOff>
          <xdr:row>93</xdr:row>
          <xdr:rowOff>381000</xdr:rowOff>
        </xdr:to>
        <xdr:sp macro="" textlink="">
          <xdr:nvSpPr>
            <xdr:cNvPr id="22605" name="Group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381000</xdr:colOff>
          <xdr:row>94</xdr:row>
          <xdr:rowOff>381000</xdr:rowOff>
        </xdr:to>
        <xdr:sp macro="" textlink="">
          <xdr:nvSpPr>
            <xdr:cNvPr id="22606" name="Group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381000</xdr:colOff>
          <xdr:row>95</xdr:row>
          <xdr:rowOff>381000</xdr:rowOff>
        </xdr:to>
        <xdr:sp macro="" textlink="">
          <xdr:nvSpPr>
            <xdr:cNvPr id="22607" name="Group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381000</xdr:colOff>
          <xdr:row>96</xdr:row>
          <xdr:rowOff>381000</xdr:rowOff>
        </xdr:to>
        <xdr:sp macro="" textlink="">
          <xdr:nvSpPr>
            <xdr:cNvPr id="22608" name="Group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381000</xdr:colOff>
          <xdr:row>97</xdr:row>
          <xdr:rowOff>381000</xdr:rowOff>
        </xdr:to>
        <xdr:sp macro="" textlink="">
          <xdr:nvSpPr>
            <xdr:cNvPr id="22609" name="Group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381000</xdr:colOff>
          <xdr:row>98</xdr:row>
          <xdr:rowOff>381000</xdr:rowOff>
        </xdr:to>
        <xdr:sp macro="" textlink="">
          <xdr:nvSpPr>
            <xdr:cNvPr id="22610" name="Group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22613" name="Group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381000</xdr:colOff>
          <xdr:row>101</xdr:row>
          <xdr:rowOff>381000</xdr:rowOff>
        </xdr:to>
        <xdr:sp macro="" textlink="">
          <xdr:nvSpPr>
            <xdr:cNvPr id="22614" name="Group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381000</xdr:colOff>
          <xdr:row>102</xdr:row>
          <xdr:rowOff>333375</xdr:rowOff>
        </xdr:to>
        <xdr:sp macro="" textlink="">
          <xdr:nvSpPr>
            <xdr:cNvPr id="22615" name="Group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381000</xdr:colOff>
          <xdr:row>103</xdr:row>
          <xdr:rowOff>381000</xdr:rowOff>
        </xdr:to>
        <xdr:sp macro="" textlink="">
          <xdr:nvSpPr>
            <xdr:cNvPr id="22616" name="Group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381000</xdr:colOff>
          <xdr:row>104</xdr:row>
          <xdr:rowOff>333375</xdr:rowOff>
        </xdr:to>
        <xdr:sp macro="" textlink="">
          <xdr:nvSpPr>
            <xdr:cNvPr id="22617" name="Group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226347</xdr:colOff>
      <xdr:row>66</xdr:row>
      <xdr:rowOff>229294</xdr:rowOff>
    </xdr:from>
    <xdr:to>
      <xdr:col>29</xdr:col>
      <xdr:colOff>415928</xdr:colOff>
      <xdr:row>79</xdr:row>
      <xdr:rowOff>285420</xdr:rowOff>
    </xdr:to>
    <xdr:graphicFrame macro="">
      <xdr:nvGraphicFramePr>
        <xdr:cNvPr id="4" name="グラフ 3">
          <a:extLst>
            <a:ext uri="{FF2B5EF4-FFF2-40B4-BE49-F238E27FC236}">
              <a16:creationId xmlns:a16="http://schemas.microsoft.com/office/drawing/2014/main" id="{B3C5FB46-B31A-4554-BB8B-BE4E233A0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35474</xdr:rowOff>
    </xdr:from>
    <xdr:to>
      <xdr:col>12</xdr:col>
      <xdr:colOff>593458</xdr:colOff>
      <xdr:row>79</xdr:row>
      <xdr:rowOff>281530</xdr:rowOff>
    </xdr:to>
    <xdr:graphicFrame macro="">
      <xdr:nvGraphicFramePr>
        <xdr:cNvPr id="5" name="グラフ 4">
          <a:extLst>
            <a:ext uri="{FF2B5EF4-FFF2-40B4-BE49-F238E27FC236}">
              <a16:creationId xmlns:a16="http://schemas.microsoft.com/office/drawing/2014/main" id="{01CB343D-5690-4898-8C7C-BAD47FFD9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294529</xdr:colOff>
      <xdr:row>67</xdr:row>
      <xdr:rowOff>16063</xdr:rowOff>
    </xdr:to>
    <xdr:sp macro="" textlink="">
      <xdr:nvSpPr>
        <xdr:cNvPr id="6" name="テキスト ボックス 5">
          <a:extLst>
            <a:ext uri="{FF2B5EF4-FFF2-40B4-BE49-F238E27FC236}">
              <a16:creationId xmlns:a16="http://schemas.microsoft.com/office/drawing/2014/main" id="{28C47A91-DA48-4F67-80B4-3853DD39B0CC}"/>
            </a:ext>
          </a:extLst>
        </xdr:cNvPr>
        <xdr:cNvSpPr txBox="1"/>
      </xdr:nvSpPr>
      <xdr:spPr>
        <a:xfrm>
          <a:off x="3294343" y="17096443"/>
          <a:ext cx="2861236"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447221</xdr:colOff>
      <xdr:row>52</xdr:row>
      <xdr:rowOff>104640</xdr:rowOff>
    </xdr:to>
    <xdr:sp macro="" textlink="">
      <xdr:nvSpPr>
        <xdr:cNvPr id="11" name="矢印: 右 10">
          <a:extLst>
            <a:ext uri="{FF2B5EF4-FFF2-40B4-BE49-F238E27FC236}">
              <a16:creationId xmlns:a16="http://schemas.microsoft.com/office/drawing/2014/main" id="{71A2E50C-EE74-4477-A0A8-526FA9986CCC}"/>
            </a:ext>
          </a:extLst>
        </xdr:cNvPr>
        <xdr:cNvSpPr/>
      </xdr:nvSpPr>
      <xdr:spPr>
        <a:xfrm>
          <a:off x="6117771" y="13223075"/>
          <a:ext cx="190500" cy="210213"/>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922083</xdr:colOff>
      <xdr:row>5</xdr:row>
      <xdr:rowOff>13606</xdr:rowOff>
    </xdr:from>
    <xdr:to>
      <xdr:col>67</xdr:col>
      <xdr:colOff>20009</xdr:colOff>
      <xdr:row>7</xdr:row>
      <xdr:rowOff>826</xdr:rowOff>
    </xdr:to>
    <xdr:sp macro="" textlink="">
      <xdr:nvSpPr>
        <xdr:cNvPr id="12" name="テキスト ボックス 11">
          <a:extLst>
            <a:ext uri="{FF2B5EF4-FFF2-40B4-BE49-F238E27FC236}">
              <a16:creationId xmlns:a16="http://schemas.microsoft.com/office/drawing/2014/main" id="{085513CD-83A8-4D28-9C51-181F71C5E7A0}"/>
            </a:ext>
          </a:extLst>
        </xdr:cNvPr>
        <xdr:cNvSpPr txBox="1"/>
      </xdr:nvSpPr>
      <xdr:spPr>
        <a:xfrm>
          <a:off x="13876083" y="1836963"/>
          <a:ext cx="4486355"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601115</xdr:colOff>
      <xdr:row>5</xdr:row>
      <xdr:rowOff>13606</xdr:rowOff>
    </xdr:from>
    <xdr:to>
      <xdr:col>21</xdr:col>
      <xdr:colOff>522674</xdr:colOff>
      <xdr:row>7</xdr:row>
      <xdr:rowOff>826</xdr:rowOff>
    </xdr:to>
    <xdr:sp macro="" textlink="">
      <xdr:nvSpPr>
        <xdr:cNvPr id="13" name="テキスト ボックス 12">
          <a:extLst>
            <a:ext uri="{FF2B5EF4-FFF2-40B4-BE49-F238E27FC236}">
              <a16:creationId xmlns:a16="http://schemas.microsoft.com/office/drawing/2014/main" id="{D9AEEFB4-BA59-4C9A-9839-394AD915DAE2}"/>
            </a:ext>
          </a:extLst>
        </xdr:cNvPr>
        <xdr:cNvSpPr txBox="1"/>
      </xdr:nvSpPr>
      <xdr:spPr>
        <a:xfrm>
          <a:off x="7799294"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625929</xdr:colOff>
      <xdr:row>5</xdr:row>
      <xdr:rowOff>13606</xdr:rowOff>
    </xdr:from>
    <xdr:to>
      <xdr:col>12</xdr:col>
      <xdr:colOff>125666</xdr:colOff>
      <xdr:row>7</xdr:row>
      <xdr:rowOff>826</xdr:rowOff>
    </xdr:to>
    <xdr:sp macro="" textlink="">
      <xdr:nvSpPr>
        <xdr:cNvPr id="14" name="テキスト ボックス 13">
          <a:extLst>
            <a:ext uri="{FF2B5EF4-FFF2-40B4-BE49-F238E27FC236}">
              <a16:creationId xmlns:a16="http://schemas.microsoft.com/office/drawing/2014/main" id="{C8084140-6C83-4226-BFC1-E3A44D31629F}"/>
            </a:ext>
          </a:extLst>
        </xdr:cNvPr>
        <xdr:cNvSpPr txBox="1"/>
      </xdr:nvSpPr>
      <xdr:spPr>
        <a:xfrm>
          <a:off x="1524000" y="1836963"/>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394607</xdr:colOff>
          <xdr:row>48</xdr:row>
          <xdr:rowOff>148714</xdr:rowOff>
        </xdr:from>
        <xdr:to>
          <xdr:col>28</xdr:col>
          <xdr:colOff>599177</xdr:colOff>
          <xdr:row>55</xdr:row>
          <xdr:rowOff>0</xdr:rowOff>
        </xdr:to>
        <xdr:pic>
          <xdr:nvPicPr>
            <xdr:cNvPr id="18" name="図 17">
              <a:extLst>
                <a:ext uri="{FF2B5EF4-FFF2-40B4-BE49-F238E27FC236}">
                  <a16:creationId xmlns:a16="http://schemas.microsoft.com/office/drawing/2014/main" id="{94F5B7CB-DBF2-5DD2-E241-7C8F6F107F1D}"/>
                </a:ext>
              </a:extLst>
            </xdr:cNvPr>
            <xdr:cNvPicPr>
              <a:picLocks noChangeAspect="1" noChangeArrowheads="1"/>
              <a:extLst>
                <a:ext uri="{84589F7E-364E-4C9E-8A38-B11213B215E9}">
                  <a14:cameraTool cellRange="各年度エネルギー使用量比較!$A$12:$D$19" spid="_x0000_s23220"/>
                </a:ext>
              </a:extLst>
            </xdr:cNvPicPr>
          </xdr:nvPicPr>
          <xdr:blipFill>
            <a:blip xmlns:r="http://schemas.openxmlformats.org/officeDocument/2006/relationships" r:embed="rId3"/>
            <a:srcRect/>
            <a:stretch>
              <a:fillRect/>
            </a:stretch>
          </xdr:blipFill>
          <xdr:spPr bwMode="auto">
            <a:xfrm>
              <a:off x="12695464" y="12259071"/>
              <a:ext cx="4436392"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47625</xdr:rowOff>
        </xdr:from>
        <xdr:to>
          <xdr:col>16</xdr:col>
          <xdr:colOff>457200</xdr:colOff>
          <xdr:row>8</xdr:row>
          <xdr:rowOff>285750</xdr:rowOff>
        </xdr:to>
        <xdr:sp macro="" textlink="">
          <xdr:nvSpPr>
            <xdr:cNvPr id="22716" name="Option Button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47625</xdr:rowOff>
        </xdr:from>
        <xdr:to>
          <xdr:col>18</xdr:col>
          <xdr:colOff>571500</xdr:colOff>
          <xdr:row>8</xdr:row>
          <xdr:rowOff>285750</xdr:rowOff>
        </xdr:to>
        <xdr:sp macro="" textlink="">
          <xdr:nvSpPr>
            <xdr:cNvPr id="22717" name="Option Button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47625</xdr:rowOff>
        </xdr:from>
        <xdr:to>
          <xdr:col>25</xdr:col>
          <xdr:colOff>476250</xdr:colOff>
          <xdr:row>8</xdr:row>
          <xdr:rowOff>285750</xdr:rowOff>
        </xdr:to>
        <xdr:sp macro="" textlink="">
          <xdr:nvSpPr>
            <xdr:cNvPr id="22718" name="Option Button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xdr:row>
          <xdr:rowOff>47625</xdr:rowOff>
        </xdr:from>
        <xdr:to>
          <xdr:col>27</xdr:col>
          <xdr:colOff>571500</xdr:colOff>
          <xdr:row>8</xdr:row>
          <xdr:rowOff>285750</xdr:rowOff>
        </xdr:to>
        <xdr:sp macro="" textlink="">
          <xdr:nvSpPr>
            <xdr:cNvPr id="22719" name="Option Button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8</xdr:row>
          <xdr:rowOff>47625</xdr:rowOff>
        </xdr:from>
        <xdr:to>
          <xdr:col>29</xdr:col>
          <xdr:colOff>361950</xdr:colOff>
          <xdr:row>8</xdr:row>
          <xdr:rowOff>285750</xdr:rowOff>
        </xdr:to>
        <xdr:sp macro="" textlink="">
          <xdr:nvSpPr>
            <xdr:cNvPr id="22720" name="Option Button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257175</xdr:rowOff>
        </xdr:from>
        <xdr:to>
          <xdr:col>21</xdr:col>
          <xdr:colOff>47625</xdr:colOff>
          <xdr:row>9</xdr:row>
          <xdr:rowOff>95250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266700</xdr:rowOff>
        </xdr:from>
        <xdr:to>
          <xdr:col>29</xdr:col>
          <xdr:colOff>476250</xdr:colOff>
          <xdr:row>9</xdr:row>
          <xdr:rowOff>95250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302559</xdr:colOff>
      <xdr:row>82</xdr:row>
      <xdr:rowOff>0</xdr:rowOff>
    </xdr:from>
    <xdr:to>
      <xdr:col>25</xdr:col>
      <xdr:colOff>278896</xdr:colOff>
      <xdr:row>83</xdr:row>
      <xdr:rowOff>89674</xdr:rowOff>
    </xdr:to>
    <xdr:sp macro="" textlink="">
      <xdr:nvSpPr>
        <xdr:cNvPr id="20" name="テキスト ボックス 19">
          <a:extLst>
            <a:ext uri="{FF2B5EF4-FFF2-40B4-BE49-F238E27FC236}">
              <a16:creationId xmlns:a16="http://schemas.microsoft.com/office/drawing/2014/main" id="{54D0627B-5634-4618-874C-A6C830644FAB}"/>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16A8E6DD-D223-4A1A-9573-DF345C3F11AB}"/>
            </a:ext>
          </a:extLst>
        </xdr:cNvPr>
        <xdr:cNvGrpSpPr/>
      </xdr:nvGrpSpPr>
      <xdr:grpSpPr>
        <a:xfrm>
          <a:off x="22955250" y="5429250"/>
          <a:ext cx="8038860" cy="624494"/>
          <a:chOff x="48182894" y="6517821"/>
          <a:chExt cx="8136912" cy="675583"/>
        </a:xfrm>
      </xdr:grpSpPr>
      <xdr:sp macro="" textlink="">
        <xdr:nvSpPr>
          <xdr:cNvPr id="21" name="テキスト ボックス 20">
            <a:extLst>
              <a:ext uri="{FF2B5EF4-FFF2-40B4-BE49-F238E27FC236}">
                <a16:creationId xmlns:a16="http://schemas.microsoft.com/office/drawing/2014/main" id="{3104DC75-6AA5-F876-CBDC-8B171D496683}"/>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C604C66D-14F7-21A4-F659-959059D658C9}"/>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574265</xdr:colOff>
      <xdr:row>66</xdr:row>
      <xdr:rowOff>303767</xdr:rowOff>
    </xdr:from>
    <xdr:to>
      <xdr:col>20</xdr:col>
      <xdr:colOff>128998</xdr:colOff>
      <xdr:row>79</xdr:row>
      <xdr:rowOff>17291</xdr:rowOff>
    </xdr:to>
    <xdr:graphicFrame macro="">
      <xdr:nvGraphicFramePr>
        <xdr:cNvPr id="24" name="グラフ 23">
          <a:extLst>
            <a:ext uri="{FF2B5EF4-FFF2-40B4-BE49-F238E27FC236}">
              <a16:creationId xmlns:a16="http://schemas.microsoft.com/office/drawing/2014/main" id="{46E53334-12EC-4E69-AB4E-DB92DEE884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266700</xdr:colOff>
          <xdr:row>99</xdr:row>
          <xdr:rowOff>285750</xdr:rowOff>
        </xdr:to>
        <xdr:sp macro="" textlink="">
          <xdr:nvSpPr>
            <xdr:cNvPr id="23177" name="Option Button 649" hidden="1">
              <a:extLst>
                <a:ext uri="{63B3BB69-23CF-44E3-9099-C40C66FF867C}">
                  <a14:compatExt spid="_x0000_s23177"/>
                </a:ext>
                <a:ext uri="{FF2B5EF4-FFF2-40B4-BE49-F238E27FC236}">
                  <a16:creationId xmlns:a16="http://schemas.microsoft.com/office/drawing/2014/main" id="{00000000-0008-0000-0200-00008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23178" name="Option Button 650" hidden="1">
              <a:extLst>
                <a:ext uri="{63B3BB69-23CF-44E3-9099-C40C66FF867C}">
                  <a14:compatExt spid="_x0000_s23178"/>
                </a:ext>
                <a:ext uri="{FF2B5EF4-FFF2-40B4-BE49-F238E27FC236}">
                  <a16:creationId xmlns:a16="http://schemas.microsoft.com/office/drawing/2014/main" id="{00000000-0008-0000-0200-00008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23179" name="Option Button 651" hidden="1">
              <a:extLst>
                <a:ext uri="{63B3BB69-23CF-44E3-9099-C40C66FF867C}">
                  <a14:compatExt spid="_x0000_s23179"/>
                </a:ext>
                <a:ext uri="{FF2B5EF4-FFF2-40B4-BE49-F238E27FC236}">
                  <a16:creationId xmlns:a16="http://schemas.microsoft.com/office/drawing/2014/main" id="{00000000-0008-0000-0200-00008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381000</xdr:colOff>
          <xdr:row>99</xdr:row>
          <xdr:rowOff>381000</xdr:rowOff>
        </xdr:to>
        <xdr:sp macro="" textlink="">
          <xdr:nvSpPr>
            <xdr:cNvPr id="23180" name="Group Box 652" hidden="1">
              <a:extLst>
                <a:ext uri="{63B3BB69-23CF-44E3-9099-C40C66FF867C}">
                  <a14:compatExt spid="_x0000_s23180"/>
                </a:ext>
                <a:ext uri="{FF2B5EF4-FFF2-40B4-BE49-F238E27FC236}">
                  <a16:creationId xmlns:a16="http://schemas.microsoft.com/office/drawing/2014/main" id="{00000000-0008-0000-0200-00008C5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23</xdr:col>
      <xdr:colOff>370691</xdr:colOff>
      <xdr:row>60</xdr:row>
      <xdr:rowOff>163392</xdr:rowOff>
    </xdr:from>
    <xdr:to>
      <xdr:col>23</xdr:col>
      <xdr:colOff>561191</xdr:colOff>
      <xdr:row>60</xdr:row>
      <xdr:rowOff>369523</xdr:rowOff>
    </xdr:to>
    <xdr:sp macro="" textlink="">
      <xdr:nvSpPr>
        <xdr:cNvPr id="2" name="矢印: 右 1">
          <a:extLst>
            <a:ext uri="{FF2B5EF4-FFF2-40B4-BE49-F238E27FC236}">
              <a16:creationId xmlns:a16="http://schemas.microsoft.com/office/drawing/2014/main" id="{A4F127F2-B9E4-480F-932B-E3FDBB6C0958}"/>
            </a:ext>
          </a:extLst>
        </xdr:cNvPr>
        <xdr:cNvSpPr/>
      </xdr:nvSpPr>
      <xdr:spPr>
        <a:xfrm>
          <a:off x="13134191" y="17343028"/>
          <a:ext cx="190500" cy="206131"/>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371475</xdr:colOff>
          <xdr:row>84</xdr:row>
          <xdr:rowOff>66675</xdr:rowOff>
        </xdr:from>
        <xdr:to>
          <xdr:col>15</xdr:col>
          <xdr:colOff>295275</xdr:colOff>
          <xdr:row>84</xdr:row>
          <xdr:rowOff>295275</xdr:rowOff>
        </xdr:to>
        <xdr:sp macro="" textlink="">
          <xdr:nvSpPr>
            <xdr:cNvPr id="31747" name="Option Button 3" hidden="1">
              <a:extLst>
                <a:ext uri="{63B3BB69-23CF-44E3-9099-C40C66FF867C}">
                  <a14:compatExt spid="_x0000_s31747"/>
                </a:ext>
                <a:ext uri="{FF2B5EF4-FFF2-40B4-BE49-F238E27FC236}">
                  <a16:creationId xmlns:a16="http://schemas.microsoft.com/office/drawing/2014/main" id="{00000000-0008-0000-0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84</xdr:row>
          <xdr:rowOff>66675</xdr:rowOff>
        </xdr:from>
        <xdr:to>
          <xdr:col>18</xdr:col>
          <xdr:colOff>571500</xdr:colOff>
          <xdr:row>84</xdr:row>
          <xdr:rowOff>295275</xdr:rowOff>
        </xdr:to>
        <xdr:sp macro="" textlink="">
          <xdr:nvSpPr>
            <xdr:cNvPr id="31748" name="Option Button 4" hidden="1">
              <a:extLst>
                <a:ext uri="{63B3BB69-23CF-44E3-9099-C40C66FF867C}">
                  <a14:compatExt spid="_x0000_s31748"/>
                </a:ext>
                <a:ext uri="{FF2B5EF4-FFF2-40B4-BE49-F238E27FC236}">
                  <a16:creationId xmlns:a16="http://schemas.microsoft.com/office/drawing/2014/main" id="{00000000-0008-0000-0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84</xdr:row>
          <xdr:rowOff>66675</xdr:rowOff>
        </xdr:from>
        <xdr:to>
          <xdr:col>21</xdr:col>
          <xdr:colOff>419100</xdr:colOff>
          <xdr:row>84</xdr:row>
          <xdr:rowOff>295275</xdr:rowOff>
        </xdr:to>
        <xdr:sp macro="" textlink="">
          <xdr:nvSpPr>
            <xdr:cNvPr id="31749" name="Option Button 5" hidden="1">
              <a:extLst>
                <a:ext uri="{63B3BB69-23CF-44E3-9099-C40C66FF867C}">
                  <a14:compatExt spid="_x0000_s31749"/>
                </a:ext>
                <a:ext uri="{FF2B5EF4-FFF2-40B4-BE49-F238E27FC236}">
                  <a16:creationId xmlns:a16="http://schemas.microsoft.com/office/drawing/2014/main" id="{00000000-0008-0000-0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85</xdr:row>
          <xdr:rowOff>66675</xdr:rowOff>
        </xdr:from>
        <xdr:to>
          <xdr:col>15</xdr:col>
          <xdr:colOff>361950</xdr:colOff>
          <xdr:row>85</xdr:row>
          <xdr:rowOff>285750</xdr:rowOff>
        </xdr:to>
        <xdr:sp macro="" textlink="">
          <xdr:nvSpPr>
            <xdr:cNvPr id="31750" name="Option Button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86</xdr:row>
          <xdr:rowOff>66675</xdr:rowOff>
        </xdr:from>
        <xdr:to>
          <xdr:col>16</xdr:col>
          <xdr:colOff>285750</xdr:colOff>
          <xdr:row>86</xdr:row>
          <xdr:rowOff>285750</xdr:rowOff>
        </xdr:to>
        <xdr:sp macro="" textlink="">
          <xdr:nvSpPr>
            <xdr:cNvPr id="31751" name="Option Button 7" hidden="1">
              <a:extLst>
                <a:ext uri="{63B3BB69-23CF-44E3-9099-C40C66FF867C}">
                  <a14:compatExt spid="_x0000_s31751"/>
                </a:ext>
                <a:ext uri="{FF2B5EF4-FFF2-40B4-BE49-F238E27FC236}">
                  <a16:creationId xmlns:a16="http://schemas.microsoft.com/office/drawing/2014/main" id="{00000000-0008-0000-0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87</xdr:row>
          <xdr:rowOff>66675</xdr:rowOff>
        </xdr:from>
        <xdr:to>
          <xdr:col>15</xdr:col>
          <xdr:colOff>333375</xdr:colOff>
          <xdr:row>87</xdr:row>
          <xdr:rowOff>285750</xdr:rowOff>
        </xdr:to>
        <xdr:sp macro="" textlink="">
          <xdr:nvSpPr>
            <xdr:cNvPr id="31752" name="Option Button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88</xdr:row>
          <xdr:rowOff>66675</xdr:rowOff>
        </xdr:from>
        <xdr:to>
          <xdr:col>15</xdr:col>
          <xdr:colOff>285750</xdr:colOff>
          <xdr:row>88</xdr:row>
          <xdr:rowOff>314325</xdr:rowOff>
        </xdr:to>
        <xdr:sp macro="" textlink="">
          <xdr:nvSpPr>
            <xdr:cNvPr id="31753" name="Option Button 9" hidden="1">
              <a:extLst>
                <a:ext uri="{63B3BB69-23CF-44E3-9099-C40C66FF867C}">
                  <a14:compatExt spid="_x0000_s31753"/>
                </a:ext>
                <a:ext uri="{FF2B5EF4-FFF2-40B4-BE49-F238E27FC236}">
                  <a16:creationId xmlns:a16="http://schemas.microsoft.com/office/drawing/2014/main" id="{00000000-0008-0000-03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89</xdr:row>
          <xdr:rowOff>66675</xdr:rowOff>
        </xdr:from>
        <xdr:to>
          <xdr:col>15</xdr:col>
          <xdr:colOff>333375</xdr:colOff>
          <xdr:row>89</xdr:row>
          <xdr:rowOff>285750</xdr:rowOff>
        </xdr:to>
        <xdr:sp macro="" textlink="">
          <xdr:nvSpPr>
            <xdr:cNvPr id="31754" name="Option Button 10" hidden="1">
              <a:extLst>
                <a:ext uri="{63B3BB69-23CF-44E3-9099-C40C66FF867C}">
                  <a14:compatExt spid="_x0000_s31754"/>
                </a:ext>
                <a:ext uri="{FF2B5EF4-FFF2-40B4-BE49-F238E27FC236}">
                  <a16:creationId xmlns:a16="http://schemas.microsoft.com/office/drawing/2014/main" id="{00000000-0008-0000-03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90</xdr:row>
          <xdr:rowOff>66675</xdr:rowOff>
        </xdr:from>
        <xdr:to>
          <xdr:col>15</xdr:col>
          <xdr:colOff>361950</xdr:colOff>
          <xdr:row>90</xdr:row>
          <xdr:rowOff>314325</xdr:rowOff>
        </xdr:to>
        <xdr:sp macro="" textlink="">
          <xdr:nvSpPr>
            <xdr:cNvPr id="31755" name="Option Button 11" hidden="1">
              <a:extLst>
                <a:ext uri="{63B3BB69-23CF-44E3-9099-C40C66FF867C}">
                  <a14:compatExt spid="_x0000_s31755"/>
                </a:ext>
                <a:ext uri="{FF2B5EF4-FFF2-40B4-BE49-F238E27FC236}">
                  <a16:creationId xmlns:a16="http://schemas.microsoft.com/office/drawing/2014/main" id="{00000000-0008-0000-03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91</xdr:row>
          <xdr:rowOff>66675</xdr:rowOff>
        </xdr:from>
        <xdr:to>
          <xdr:col>15</xdr:col>
          <xdr:colOff>361950</xdr:colOff>
          <xdr:row>91</xdr:row>
          <xdr:rowOff>285750</xdr:rowOff>
        </xdr:to>
        <xdr:sp macro="" textlink="">
          <xdr:nvSpPr>
            <xdr:cNvPr id="31756" name="Option Button 12" hidden="1">
              <a:extLst>
                <a:ext uri="{63B3BB69-23CF-44E3-9099-C40C66FF867C}">
                  <a14:compatExt spid="_x0000_s31756"/>
                </a:ext>
                <a:ext uri="{FF2B5EF4-FFF2-40B4-BE49-F238E27FC236}">
                  <a16:creationId xmlns:a16="http://schemas.microsoft.com/office/drawing/2014/main" id="{00000000-0008-0000-03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92</xdr:row>
          <xdr:rowOff>66675</xdr:rowOff>
        </xdr:from>
        <xdr:to>
          <xdr:col>15</xdr:col>
          <xdr:colOff>314325</xdr:colOff>
          <xdr:row>92</xdr:row>
          <xdr:rowOff>285750</xdr:rowOff>
        </xdr:to>
        <xdr:sp macro="" textlink="">
          <xdr:nvSpPr>
            <xdr:cNvPr id="31757" name="Option Button 13" hidden="1">
              <a:extLst>
                <a:ext uri="{63B3BB69-23CF-44E3-9099-C40C66FF867C}">
                  <a14:compatExt spid="_x0000_s31757"/>
                </a:ext>
                <a:ext uri="{FF2B5EF4-FFF2-40B4-BE49-F238E27FC236}">
                  <a16:creationId xmlns:a16="http://schemas.microsoft.com/office/drawing/2014/main" id="{00000000-0008-0000-03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93</xdr:row>
          <xdr:rowOff>66675</xdr:rowOff>
        </xdr:from>
        <xdr:to>
          <xdr:col>15</xdr:col>
          <xdr:colOff>333375</xdr:colOff>
          <xdr:row>93</xdr:row>
          <xdr:rowOff>285750</xdr:rowOff>
        </xdr:to>
        <xdr:sp macro="" textlink="">
          <xdr:nvSpPr>
            <xdr:cNvPr id="31758" name="Option Button 14" hidden="1">
              <a:extLst>
                <a:ext uri="{63B3BB69-23CF-44E3-9099-C40C66FF867C}">
                  <a14:compatExt spid="_x0000_s31758"/>
                </a:ext>
                <a:ext uri="{FF2B5EF4-FFF2-40B4-BE49-F238E27FC236}">
                  <a16:creationId xmlns:a16="http://schemas.microsoft.com/office/drawing/2014/main" id="{00000000-0008-0000-03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94</xdr:row>
          <xdr:rowOff>66675</xdr:rowOff>
        </xdr:from>
        <xdr:to>
          <xdr:col>15</xdr:col>
          <xdr:colOff>314325</xdr:colOff>
          <xdr:row>94</xdr:row>
          <xdr:rowOff>285750</xdr:rowOff>
        </xdr:to>
        <xdr:sp macro="" textlink="">
          <xdr:nvSpPr>
            <xdr:cNvPr id="31759" name="Option Button 15" hidden="1">
              <a:extLst>
                <a:ext uri="{63B3BB69-23CF-44E3-9099-C40C66FF867C}">
                  <a14:compatExt spid="_x0000_s31759"/>
                </a:ext>
                <a:ext uri="{FF2B5EF4-FFF2-40B4-BE49-F238E27FC236}">
                  <a16:creationId xmlns:a16="http://schemas.microsoft.com/office/drawing/2014/main" id="{00000000-0008-0000-03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95</xdr:row>
          <xdr:rowOff>66675</xdr:rowOff>
        </xdr:from>
        <xdr:to>
          <xdr:col>15</xdr:col>
          <xdr:colOff>314325</xdr:colOff>
          <xdr:row>95</xdr:row>
          <xdr:rowOff>285750</xdr:rowOff>
        </xdr:to>
        <xdr:sp macro="" textlink="">
          <xdr:nvSpPr>
            <xdr:cNvPr id="31760" name="Option Button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96</xdr:row>
          <xdr:rowOff>66675</xdr:rowOff>
        </xdr:from>
        <xdr:to>
          <xdr:col>15</xdr:col>
          <xdr:colOff>333375</xdr:colOff>
          <xdr:row>96</xdr:row>
          <xdr:rowOff>285750</xdr:rowOff>
        </xdr:to>
        <xdr:sp macro="" textlink="">
          <xdr:nvSpPr>
            <xdr:cNvPr id="31761" name="Option Button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97</xdr:row>
          <xdr:rowOff>66675</xdr:rowOff>
        </xdr:from>
        <xdr:to>
          <xdr:col>15</xdr:col>
          <xdr:colOff>285750</xdr:colOff>
          <xdr:row>97</xdr:row>
          <xdr:rowOff>285750</xdr:rowOff>
        </xdr:to>
        <xdr:sp macro="" textlink="">
          <xdr:nvSpPr>
            <xdr:cNvPr id="31762" name="Option Button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98</xdr:row>
          <xdr:rowOff>66675</xdr:rowOff>
        </xdr:from>
        <xdr:to>
          <xdr:col>16</xdr:col>
          <xdr:colOff>285750</xdr:colOff>
          <xdr:row>98</xdr:row>
          <xdr:rowOff>285750</xdr:rowOff>
        </xdr:to>
        <xdr:sp macro="" textlink="">
          <xdr:nvSpPr>
            <xdr:cNvPr id="31763" name="Option Button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100</xdr:row>
          <xdr:rowOff>66675</xdr:rowOff>
        </xdr:from>
        <xdr:to>
          <xdr:col>15</xdr:col>
          <xdr:colOff>361950</xdr:colOff>
          <xdr:row>100</xdr:row>
          <xdr:rowOff>285750</xdr:rowOff>
        </xdr:to>
        <xdr:sp macro="" textlink="">
          <xdr:nvSpPr>
            <xdr:cNvPr id="31766" name="Option Button 22" hidden="1">
              <a:extLst>
                <a:ext uri="{63B3BB69-23CF-44E3-9099-C40C66FF867C}">
                  <a14:compatExt spid="_x0000_s31766"/>
                </a:ext>
                <a:ext uri="{FF2B5EF4-FFF2-40B4-BE49-F238E27FC236}">
                  <a16:creationId xmlns:a16="http://schemas.microsoft.com/office/drawing/2014/main" id="{00000000-0008-0000-03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101</xdr:row>
          <xdr:rowOff>66675</xdr:rowOff>
        </xdr:from>
        <xdr:to>
          <xdr:col>15</xdr:col>
          <xdr:colOff>333375</xdr:colOff>
          <xdr:row>101</xdr:row>
          <xdr:rowOff>285750</xdr:rowOff>
        </xdr:to>
        <xdr:sp macro="" textlink="">
          <xdr:nvSpPr>
            <xdr:cNvPr id="31767" name="Option Button 23" hidden="1">
              <a:extLst>
                <a:ext uri="{63B3BB69-23CF-44E3-9099-C40C66FF867C}">
                  <a14:compatExt spid="_x0000_s31767"/>
                </a:ext>
                <a:ext uri="{FF2B5EF4-FFF2-40B4-BE49-F238E27FC236}">
                  <a16:creationId xmlns:a16="http://schemas.microsoft.com/office/drawing/2014/main" id="{00000000-0008-0000-03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102</xdr:row>
          <xdr:rowOff>66675</xdr:rowOff>
        </xdr:from>
        <xdr:to>
          <xdr:col>15</xdr:col>
          <xdr:colOff>333375</xdr:colOff>
          <xdr:row>102</xdr:row>
          <xdr:rowOff>285750</xdr:rowOff>
        </xdr:to>
        <xdr:sp macro="" textlink="">
          <xdr:nvSpPr>
            <xdr:cNvPr id="31768" name="Option Button 24" hidden="1">
              <a:extLst>
                <a:ext uri="{63B3BB69-23CF-44E3-9099-C40C66FF867C}">
                  <a14:compatExt spid="_x0000_s31768"/>
                </a:ext>
                <a:ext uri="{FF2B5EF4-FFF2-40B4-BE49-F238E27FC236}">
                  <a16:creationId xmlns:a16="http://schemas.microsoft.com/office/drawing/2014/main" id="{00000000-0008-0000-03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103</xdr:row>
          <xdr:rowOff>66675</xdr:rowOff>
        </xdr:from>
        <xdr:to>
          <xdr:col>15</xdr:col>
          <xdr:colOff>285750</xdr:colOff>
          <xdr:row>103</xdr:row>
          <xdr:rowOff>285750</xdr:rowOff>
        </xdr:to>
        <xdr:sp macro="" textlink="">
          <xdr:nvSpPr>
            <xdr:cNvPr id="31769" name="Option Button 25" hidden="1">
              <a:extLst>
                <a:ext uri="{63B3BB69-23CF-44E3-9099-C40C66FF867C}">
                  <a14:compatExt spid="_x0000_s31769"/>
                </a:ext>
                <a:ext uri="{FF2B5EF4-FFF2-40B4-BE49-F238E27FC236}">
                  <a16:creationId xmlns:a16="http://schemas.microsoft.com/office/drawing/2014/main" id="{00000000-0008-0000-03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371475</xdr:colOff>
          <xdr:row>104</xdr:row>
          <xdr:rowOff>66675</xdr:rowOff>
        </xdr:from>
        <xdr:to>
          <xdr:col>15</xdr:col>
          <xdr:colOff>314325</xdr:colOff>
          <xdr:row>104</xdr:row>
          <xdr:rowOff>285750</xdr:rowOff>
        </xdr:to>
        <xdr:sp macro="" textlink="">
          <xdr:nvSpPr>
            <xdr:cNvPr id="31770" name="Option Button 26" hidden="1">
              <a:extLst>
                <a:ext uri="{63B3BB69-23CF-44E3-9099-C40C66FF867C}">
                  <a14:compatExt spid="_x0000_s31770"/>
                </a:ext>
                <a:ext uri="{FF2B5EF4-FFF2-40B4-BE49-F238E27FC236}">
                  <a16:creationId xmlns:a16="http://schemas.microsoft.com/office/drawing/2014/main" id="{00000000-0008-0000-03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85</xdr:row>
          <xdr:rowOff>66675</xdr:rowOff>
        </xdr:from>
        <xdr:to>
          <xdr:col>19</xdr:col>
          <xdr:colOff>28575</xdr:colOff>
          <xdr:row>85</xdr:row>
          <xdr:rowOff>285750</xdr:rowOff>
        </xdr:to>
        <xdr:sp macro="" textlink="">
          <xdr:nvSpPr>
            <xdr:cNvPr id="31771" name="Option Button 27" hidden="1">
              <a:extLst>
                <a:ext uri="{63B3BB69-23CF-44E3-9099-C40C66FF867C}">
                  <a14:compatExt spid="_x0000_s31771"/>
                </a:ext>
                <a:ext uri="{FF2B5EF4-FFF2-40B4-BE49-F238E27FC236}">
                  <a16:creationId xmlns:a16="http://schemas.microsoft.com/office/drawing/2014/main" id="{00000000-0008-0000-03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86</xdr:row>
          <xdr:rowOff>66675</xdr:rowOff>
        </xdr:from>
        <xdr:to>
          <xdr:col>18</xdr:col>
          <xdr:colOff>571500</xdr:colOff>
          <xdr:row>86</xdr:row>
          <xdr:rowOff>285750</xdr:rowOff>
        </xdr:to>
        <xdr:sp macro="" textlink="">
          <xdr:nvSpPr>
            <xdr:cNvPr id="31772" name="Option Button 28" hidden="1">
              <a:extLst>
                <a:ext uri="{63B3BB69-23CF-44E3-9099-C40C66FF867C}">
                  <a14:compatExt spid="_x0000_s31772"/>
                </a:ext>
                <a:ext uri="{FF2B5EF4-FFF2-40B4-BE49-F238E27FC236}">
                  <a16:creationId xmlns:a16="http://schemas.microsoft.com/office/drawing/2014/main" id="{00000000-0008-0000-03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87</xdr:row>
          <xdr:rowOff>66675</xdr:rowOff>
        </xdr:from>
        <xdr:to>
          <xdr:col>18</xdr:col>
          <xdr:colOff>600075</xdr:colOff>
          <xdr:row>87</xdr:row>
          <xdr:rowOff>285750</xdr:rowOff>
        </xdr:to>
        <xdr:sp macro="" textlink="">
          <xdr:nvSpPr>
            <xdr:cNvPr id="31773" name="Option Button 29" hidden="1">
              <a:extLst>
                <a:ext uri="{63B3BB69-23CF-44E3-9099-C40C66FF867C}">
                  <a14:compatExt spid="_x0000_s31773"/>
                </a:ext>
                <a:ext uri="{FF2B5EF4-FFF2-40B4-BE49-F238E27FC236}">
                  <a16:creationId xmlns:a16="http://schemas.microsoft.com/office/drawing/2014/main" id="{00000000-0008-0000-03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88</xdr:row>
          <xdr:rowOff>66675</xdr:rowOff>
        </xdr:from>
        <xdr:to>
          <xdr:col>18</xdr:col>
          <xdr:colOff>571500</xdr:colOff>
          <xdr:row>88</xdr:row>
          <xdr:rowOff>314325</xdr:rowOff>
        </xdr:to>
        <xdr:sp macro="" textlink="">
          <xdr:nvSpPr>
            <xdr:cNvPr id="31774" name="Option Button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89</xdr:row>
          <xdr:rowOff>66675</xdr:rowOff>
        </xdr:from>
        <xdr:to>
          <xdr:col>18</xdr:col>
          <xdr:colOff>571500</xdr:colOff>
          <xdr:row>89</xdr:row>
          <xdr:rowOff>285750</xdr:rowOff>
        </xdr:to>
        <xdr:sp macro="" textlink="">
          <xdr:nvSpPr>
            <xdr:cNvPr id="31775" name="Option Button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90</xdr:row>
          <xdr:rowOff>66675</xdr:rowOff>
        </xdr:from>
        <xdr:to>
          <xdr:col>18</xdr:col>
          <xdr:colOff>571500</xdr:colOff>
          <xdr:row>90</xdr:row>
          <xdr:rowOff>314325</xdr:rowOff>
        </xdr:to>
        <xdr:sp macro="" textlink="">
          <xdr:nvSpPr>
            <xdr:cNvPr id="31776" name="Option Button 32" hidden="1">
              <a:extLst>
                <a:ext uri="{63B3BB69-23CF-44E3-9099-C40C66FF867C}">
                  <a14:compatExt spid="_x0000_s31776"/>
                </a:ext>
                <a:ext uri="{FF2B5EF4-FFF2-40B4-BE49-F238E27FC236}">
                  <a16:creationId xmlns:a16="http://schemas.microsoft.com/office/drawing/2014/main" id="{00000000-0008-0000-03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91</xdr:row>
          <xdr:rowOff>66675</xdr:rowOff>
        </xdr:from>
        <xdr:to>
          <xdr:col>18</xdr:col>
          <xdr:colOff>571500</xdr:colOff>
          <xdr:row>91</xdr:row>
          <xdr:rowOff>285750</xdr:rowOff>
        </xdr:to>
        <xdr:sp macro="" textlink="">
          <xdr:nvSpPr>
            <xdr:cNvPr id="31777" name="Option Button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92</xdr:row>
          <xdr:rowOff>66675</xdr:rowOff>
        </xdr:from>
        <xdr:to>
          <xdr:col>18</xdr:col>
          <xdr:colOff>571500</xdr:colOff>
          <xdr:row>92</xdr:row>
          <xdr:rowOff>285750</xdr:rowOff>
        </xdr:to>
        <xdr:sp macro="" textlink="">
          <xdr:nvSpPr>
            <xdr:cNvPr id="31778" name="Option Button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93</xdr:row>
          <xdr:rowOff>66675</xdr:rowOff>
        </xdr:from>
        <xdr:to>
          <xdr:col>18</xdr:col>
          <xdr:colOff>571500</xdr:colOff>
          <xdr:row>93</xdr:row>
          <xdr:rowOff>285750</xdr:rowOff>
        </xdr:to>
        <xdr:sp macro="" textlink="">
          <xdr:nvSpPr>
            <xdr:cNvPr id="31779" name="Option Button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94</xdr:row>
          <xdr:rowOff>66675</xdr:rowOff>
        </xdr:from>
        <xdr:to>
          <xdr:col>18</xdr:col>
          <xdr:colOff>619125</xdr:colOff>
          <xdr:row>94</xdr:row>
          <xdr:rowOff>285750</xdr:rowOff>
        </xdr:to>
        <xdr:sp macro="" textlink="">
          <xdr:nvSpPr>
            <xdr:cNvPr id="31780" name="Option Button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95</xdr:row>
          <xdr:rowOff>66675</xdr:rowOff>
        </xdr:from>
        <xdr:to>
          <xdr:col>18</xdr:col>
          <xdr:colOff>571500</xdr:colOff>
          <xdr:row>95</xdr:row>
          <xdr:rowOff>285750</xdr:rowOff>
        </xdr:to>
        <xdr:sp macro="" textlink="">
          <xdr:nvSpPr>
            <xdr:cNvPr id="31781" name="Option Button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96</xdr:row>
          <xdr:rowOff>66675</xdr:rowOff>
        </xdr:from>
        <xdr:to>
          <xdr:col>18</xdr:col>
          <xdr:colOff>571500</xdr:colOff>
          <xdr:row>96</xdr:row>
          <xdr:rowOff>285750</xdr:rowOff>
        </xdr:to>
        <xdr:sp macro="" textlink="">
          <xdr:nvSpPr>
            <xdr:cNvPr id="31782" name="Option Button 38" hidden="1">
              <a:extLst>
                <a:ext uri="{63B3BB69-23CF-44E3-9099-C40C66FF867C}">
                  <a14:compatExt spid="_x0000_s31782"/>
                </a:ext>
                <a:ext uri="{FF2B5EF4-FFF2-40B4-BE49-F238E27FC236}">
                  <a16:creationId xmlns:a16="http://schemas.microsoft.com/office/drawing/2014/main" id="{00000000-0008-0000-03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97</xdr:row>
          <xdr:rowOff>66675</xdr:rowOff>
        </xdr:from>
        <xdr:to>
          <xdr:col>18</xdr:col>
          <xdr:colOff>600075</xdr:colOff>
          <xdr:row>97</xdr:row>
          <xdr:rowOff>285750</xdr:rowOff>
        </xdr:to>
        <xdr:sp macro="" textlink="">
          <xdr:nvSpPr>
            <xdr:cNvPr id="31783" name="Option Button 39" hidden="1">
              <a:extLst>
                <a:ext uri="{63B3BB69-23CF-44E3-9099-C40C66FF867C}">
                  <a14:compatExt spid="_x0000_s31783"/>
                </a:ext>
                <a:ext uri="{FF2B5EF4-FFF2-40B4-BE49-F238E27FC236}">
                  <a16:creationId xmlns:a16="http://schemas.microsoft.com/office/drawing/2014/main" id="{00000000-0008-0000-03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98</xdr:row>
          <xdr:rowOff>66675</xdr:rowOff>
        </xdr:from>
        <xdr:to>
          <xdr:col>18</xdr:col>
          <xdr:colOff>571500</xdr:colOff>
          <xdr:row>98</xdr:row>
          <xdr:rowOff>285750</xdr:rowOff>
        </xdr:to>
        <xdr:sp macro="" textlink="">
          <xdr:nvSpPr>
            <xdr:cNvPr id="31784" name="Option Button 40" hidden="1">
              <a:extLst>
                <a:ext uri="{63B3BB69-23CF-44E3-9099-C40C66FF867C}">
                  <a14:compatExt spid="_x0000_s31784"/>
                </a:ext>
                <a:ext uri="{FF2B5EF4-FFF2-40B4-BE49-F238E27FC236}">
                  <a16:creationId xmlns:a16="http://schemas.microsoft.com/office/drawing/2014/main" id="{00000000-0008-0000-03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100</xdr:row>
          <xdr:rowOff>66675</xdr:rowOff>
        </xdr:from>
        <xdr:to>
          <xdr:col>19</xdr:col>
          <xdr:colOff>0</xdr:colOff>
          <xdr:row>100</xdr:row>
          <xdr:rowOff>285750</xdr:rowOff>
        </xdr:to>
        <xdr:sp macro="" textlink="">
          <xdr:nvSpPr>
            <xdr:cNvPr id="31787" name="Option Button 43" hidden="1">
              <a:extLst>
                <a:ext uri="{63B3BB69-23CF-44E3-9099-C40C66FF867C}">
                  <a14:compatExt spid="_x0000_s31787"/>
                </a:ext>
                <a:ext uri="{FF2B5EF4-FFF2-40B4-BE49-F238E27FC236}">
                  <a16:creationId xmlns:a16="http://schemas.microsoft.com/office/drawing/2014/main" id="{00000000-0008-0000-03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101</xdr:row>
          <xdr:rowOff>66675</xdr:rowOff>
        </xdr:from>
        <xdr:to>
          <xdr:col>18</xdr:col>
          <xdr:colOff>600075</xdr:colOff>
          <xdr:row>101</xdr:row>
          <xdr:rowOff>285750</xdr:rowOff>
        </xdr:to>
        <xdr:sp macro="" textlink="">
          <xdr:nvSpPr>
            <xdr:cNvPr id="31788" name="Option Button 44" hidden="1">
              <a:extLst>
                <a:ext uri="{63B3BB69-23CF-44E3-9099-C40C66FF867C}">
                  <a14:compatExt spid="_x0000_s31788"/>
                </a:ext>
                <a:ext uri="{FF2B5EF4-FFF2-40B4-BE49-F238E27FC236}">
                  <a16:creationId xmlns:a16="http://schemas.microsoft.com/office/drawing/2014/main" id="{00000000-0008-0000-03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102</xdr:row>
          <xdr:rowOff>66675</xdr:rowOff>
        </xdr:from>
        <xdr:to>
          <xdr:col>18</xdr:col>
          <xdr:colOff>600075</xdr:colOff>
          <xdr:row>102</xdr:row>
          <xdr:rowOff>285750</xdr:rowOff>
        </xdr:to>
        <xdr:sp macro="" textlink="">
          <xdr:nvSpPr>
            <xdr:cNvPr id="31789" name="Option Button 45" hidden="1">
              <a:extLst>
                <a:ext uri="{63B3BB69-23CF-44E3-9099-C40C66FF867C}">
                  <a14:compatExt spid="_x0000_s31789"/>
                </a:ext>
                <a:ext uri="{FF2B5EF4-FFF2-40B4-BE49-F238E27FC236}">
                  <a16:creationId xmlns:a16="http://schemas.microsoft.com/office/drawing/2014/main" id="{00000000-0008-0000-03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103</xdr:row>
          <xdr:rowOff>66675</xdr:rowOff>
        </xdr:from>
        <xdr:to>
          <xdr:col>18</xdr:col>
          <xdr:colOff>571500</xdr:colOff>
          <xdr:row>103</xdr:row>
          <xdr:rowOff>285750</xdr:rowOff>
        </xdr:to>
        <xdr:sp macro="" textlink="">
          <xdr:nvSpPr>
            <xdr:cNvPr id="31790" name="Option Button 46" hidden="1">
              <a:extLst>
                <a:ext uri="{63B3BB69-23CF-44E3-9099-C40C66FF867C}">
                  <a14:compatExt spid="_x0000_s31790"/>
                </a:ext>
                <a:ext uri="{FF2B5EF4-FFF2-40B4-BE49-F238E27FC236}">
                  <a16:creationId xmlns:a16="http://schemas.microsoft.com/office/drawing/2014/main" id="{00000000-0008-0000-03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104</xdr:row>
          <xdr:rowOff>66675</xdr:rowOff>
        </xdr:from>
        <xdr:to>
          <xdr:col>18</xdr:col>
          <xdr:colOff>619125</xdr:colOff>
          <xdr:row>104</xdr:row>
          <xdr:rowOff>314325</xdr:rowOff>
        </xdr:to>
        <xdr:sp macro="" textlink="">
          <xdr:nvSpPr>
            <xdr:cNvPr id="31791" name="Option Button 47" hidden="1">
              <a:extLst>
                <a:ext uri="{63B3BB69-23CF-44E3-9099-C40C66FF867C}">
                  <a14:compatExt spid="_x0000_s31791"/>
                </a:ext>
                <a:ext uri="{FF2B5EF4-FFF2-40B4-BE49-F238E27FC236}">
                  <a16:creationId xmlns:a16="http://schemas.microsoft.com/office/drawing/2014/main" id="{00000000-0008-0000-03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85</xdr:row>
          <xdr:rowOff>66675</xdr:rowOff>
        </xdr:from>
        <xdr:to>
          <xdr:col>21</xdr:col>
          <xdr:colOff>381000</xdr:colOff>
          <xdr:row>85</xdr:row>
          <xdr:rowOff>285750</xdr:rowOff>
        </xdr:to>
        <xdr:sp macro="" textlink="">
          <xdr:nvSpPr>
            <xdr:cNvPr id="31792" name="Option Button 48" hidden="1">
              <a:extLst>
                <a:ext uri="{63B3BB69-23CF-44E3-9099-C40C66FF867C}">
                  <a14:compatExt spid="_x0000_s31792"/>
                </a:ext>
                <a:ext uri="{FF2B5EF4-FFF2-40B4-BE49-F238E27FC236}">
                  <a16:creationId xmlns:a16="http://schemas.microsoft.com/office/drawing/2014/main" id="{00000000-0008-0000-03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86</xdr:row>
          <xdr:rowOff>66675</xdr:rowOff>
        </xdr:from>
        <xdr:to>
          <xdr:col>21</xdr:col>
          <xdr:colOff>285750</xdr:colOff>
          <xdr:row>86</xdr:row>
          <xdr:rowOff>285750</xdr:rowOff>
        </xdr:to>
        <xdr:sp macro="" textlink="">
          <xdr:nvSpPr>
            <xdr:cNvPr id="31793" name="Option Button 49" hidden="1">
              <a:extLst>
                <a:ext uri="{63B3BB69-23CF-44E3-9099-C40C66FF867C}">
                  <a14:compatExt spid="_x0000_s31793"/>
                </a:ext>
                <a:ext uri="{FF2B5EF4-FFF2-40B4-BE49-F238E27FC236}">
                  <a16:creationId xmlns:a16="http://schemas.microsoft.com/office/drawing/2014/main" id="{00000000-0008-0000-03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87</xdr:row>
          <xdr:rowOff>66675</xdr:rowOff>
        </xdr:from>
        <xdr:to>
          <xdr:col>21</xdr:col>
          <xdr:colOff>333375</xdr:colOff>
          <xdr:row>87</xdr:row>
          <xdr:rowOff>285750</xdr:rowOff>
        </xdr:to>
        <xdr:sp macro="" textlink="">
          <xdr:nvSpPr>
            <xdr:cNvPr id="31794" name="Option Button 50" hidden="1">
              <a:extLst>
                <a:ext uri="{63B3BB69-23CF-44E3-9099-C40C66FF867C}">
                  <a14:compatExt spid="_x0000_s31794"/>
                </a:ext>
                <a:ext uri="{FF2B5EF4-FFF2-40B4-BE49-F238E27FC236}">
                  <a16:creationId xmlns:a16="http://schemas.microsoft.com/office/drawing/2014/main" id="{00000000-0008-0000-03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88</xdr:row>
          <xdr:rowOff>66675</xdr:rowOff>
        </xdr:from>
        <xdr:to>
          <xdr:col>21</xdr:col>
          <xdr:colOff>314325</xdr:colOff>
          <xdr:row>88</xdr:row>
          <xdr:rowOff>314325</xdr:rowOff>
        </xdr:to>
        <xdr:sp macro="" textlink="">
          <xdr:nvSpPr>
            <xdr:cNvPr id="31795" name="Option Button 51" hidden="1">
              <a:extLst>
                <a:ext uri="{63B3BB69-23CF-44E3-9099-C40C66FF867C}">
                  <a14:compatExt spid="_x0000_s31795"/>
                </a:ext>
                <a:ext uri="{FF2B5EF4-FFF2-40B4-BE49-F238E27FC236}">
                  <a16:creationId xmlns:a16="http://schemas.microsoft.com/office/drawing/2014/main" id="{00000000-0008-0000-03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89</xdr:row>
          <xdr:rowOff>66675</xdr:rowOff>
        </xdr:from>
        <xdr:to>
          <xdr:col>21</xdr:col>
          <xdr:colOff>314325</xdr:colOff>
          <xdr:row>89</xdr:row>
          <xdr:rowOff>285750</xdr:rowOff>
        </xdr:to>
        <xdr:sp macro="" textlink="">
          <xdr:nvSpPr>
            <xdr:cNvPr id="31796" name="Option Button 52" hidden="1">
              <a:extLst>
                <a:ext uri="{63B3BB69-23CF-44E3-9099-C40C66FF867C}">
                  <a14:compatExt spid="_x0000_s31796"/>
                </a:ext>
                <a:ext uri="{FF2B5EF4-FFF2-40B4-BE49-F238E27FC236}">
                  <a16:creationId xmlns:a16="http://schemas.microsoft.com/office/drawing/2014/main" id="{00000000-0008-0000-03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90</xdr:row>
          <xdr:rowOff>66675</xdr:rowOff>
        </xdr:from>
        <xdr:to>
          <xdr:col>21</xdr:col>
          <xdr:colOff>333375</xdr:colOff>
          <xdr:row>90</xdr:row>
          <xdr:rowOff>314325</xdr:rowOff>
        </xdr:to>
        <xdr:sp macro="" textlink="">
          <xdr:nvSpPr>
            <xdr:cNvPr id="31797" name="Option Button 53" hidden="1">
              <a:extLst>
                <a:ext uri="{63B3BB69-23CF-44E3-9099-C40C66FF867C}">
                  <a14:compatExt spid="_x0000_s31797"/>
                </a:ext>
                <a:ext uri="{FF2B5EF4-FFF2-40B4-BE49-F238E27FC236}">
                  <a16:creationId xmlns:a16="http://schemas.microsoft.com/office/drawing/2014/main" id="{00000000-0008-0000-03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91</xdr:row>
          <xdr:rowOff>66675</xdr:rowOff>
        </xdr:from>
        <xdr:to>
          <xdr:col>21</xdr:col>
          <xdr:colOff>285750</xdr:colOff>
          <xdr:row>91</xdr:row>
          <xdr:rowOff>285750</xdr:rowOff>
        </xdr:to>
        <xdr:sp macro="" textlink="">
          <xdr:nvSpPr>
            <xdr:cNvPr id="31798" name="Option Button 54" hidden="1">
              <a:extLst>
                <a:ext uri="{63B3BB69-23CF-44E3-9099-C40C66FF867C}">
                  <a14:compatExt spid="_x0000_s31798"/>
                </a:ext>
                <a:ext uri="{FF2B5EF4-FFF2-40B4-BE49-F238E27FC236}">
                  <a16:creationId xmlns:a16="http://schemas.microsoft.com/office/drawing/2014/main" id="{00000000-0008-0000-03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92</xdr:row>
          <xdr:rowOff>66675</xdr:rowOff>
        </xdr:from>
        <xdr:to>
          <xdr:col>21</xdr:col>
          <xdr:colOff>333375</xdr:colOff>
          <xdr:row>92</xdr:row>
          <xdr:rowOff>285750</xdr:rowOff>
        </xdr:to>
        <xdr:sp macro="" textlink="">
          <xdr:nvSpPr>
            <xdr:cNvPr id="31799" name="Option Button 55" hidden="1">
              <a:extLst>
                <a:ext uri="{63B3BB69-23CF-44E3-9099-C40C66FF867C}">
                  <a14:compatExt spid="_x0000_s31799"/>
                </a:ext>
                <a:ext uri="{FF2B5EF4-FFF2-40B4-BE49-F238E27FC236}">
                  <a16:creationId xmlns:a16="http://schemas.microsoft.com/office/drawing/2014/main" id="{00000000-0008-0000-03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93</xdr:row>
          <xdr:rowOff>66675</xdr:rowOff>
        </xdr:from>
        <xdr:to>
          <xdr:col>21</xdr:col>
          <xdr:colOff>333375</xdr:colOff>
          <xdr:row>93</xdr:row>
          <xdr:rowOff>285750</xdr:rowOff>
        </xdr:to>
        <xdr:sp macro="" textlink="">
          <xdr:nvSpPr>
            <xdr:cNvPr id="31800" name="Option Button 56" hidden="1">
              <a:extLst>
                <a:ext uri="{63B3BB69-23CF-44E3-9099-C40C66FF867C}">
                  <a14:compatExt spid="_x0000_s31800"/>
                </a:ext>
                <a:ext uri="{FF2B5EF4-FFF2-40B4-BE49-F238E27FC236}">
                  <a16:creationId xmlns:a16="http://schemas.microsoft.com/office/drawing/2014/main" id="{00000000-0008-0000-03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94</xdr:row>
          <xdr:rowOff>66675</xdr:rowOff>
        </xdr:from>
        <xdr:to>
          <xdr:col>21</xdr:col>
          <xdr:colOff>266700</xdr:colOff>
          <xdr:row>94</xdr:row>
          <xdr:rowOff>285750</xdr:rowOff>
        </xdr:to>
        <xdr:sp macro="" textlink="">
          <xdr:nvSpPr>
            <xdr:cNvPr id="31801" name="Option Button 57" hidden="1">
              <a:extLst>
                <a:ext uri="{63B3BB69-23CF-44E3-9099-C40C66FF867C}">
                  <a14:compatExt spid="_x0000_s31801"/>
                </a:ext>
                <a:ext uri="{FF2B5EF4-FFF2-40B4-BE49-F238E27FC236}">
                  <a16:creationId xmlns:a16="http://schemas.microsoft.com/office/drawing/2014/main" id="{00000000-0008-0000-03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95</xdr:row>
          <xdr:rowOff>66675</xdr:rowOff>
        </xdr:from>
        <xdr:to>
          <xdr:col>21</xdr:col>
          <xdr:colOff>285750</xdr:colOff>
          <xdr:row>95</xdr:row>
          <xdr:rowOff>285750</xdr:rowOff>
        </xdr:to>
        <xdr:sp macro="" textlink="">
          <xdr:nvSpPr>
            <xdr:cNvPr id="31802" name="Option Button 58" hidden="1">
              <a:extLst>
                <a:ext uri="{63B3BB69-23CF-44E3-9099-C40C66FF867C}">
                  <a14:compatExt spid="_x0000_s31802"/>
                </a:ext>
                <a:ext uri="{FF2B5EF4-FFF2-40B4-BE49-F238E27FC236}">
                  <a16:creationId xmlns:a16="http://schemas.microsoft.com/office/drawing/2014/main" id="{00000000-0008-0000-03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96</xdr:row>
          <xdr:rowOff>66675</xdr:rowOff>
        </xdr:from>
        <xdr:to>
          <xdr:col>21</xdr:col>
          <xdr:colOff>314325</xdr:colOff>
          <xdr:row>96</xdr:row>
          <xdr:rowOff>285750</xdr:rowOff>
        </xdr:to>
        <xdr:sp macro="" textlink="">
          <xdr:nvSpPr>
            <xdr:cNvPr id="31803" name="Option Button 59" hidden="1">
              <a:extLst>
                <a:ext uri="{63B3BB69-23CF-44E3-9099-C40C66FF867C}">
                  <a14:compatExt spid="_x0000_s31803"/>
                </a:ext>
                <a:ext uri="{FF2B5EF4-FFF2-40B4-BE49-F238E27FC236}">
                  <a16:creationId xmlns:a16="http://schemas.microsoft.com/office/drawing/2014/main" id="{00000000-0008-0000-03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97</xdr:row>
          <xdr:rowOff>66675</xdr:rowOff>
        </xdr:from>
        <xdr:to>
          <xdr:col>21</xdr:col>
          <xdr:colOff>333375</xdr:colOff>
          <xdr:row>97</xdr:row>
          <xdr:rowOff>285750</xdr:rowOff>
        </xdr:to>
        <xdr:sp macro="" textlink="">
          <xdr:nvSpPr>
            <xdr:cNvPr id="31804" name="Option Button 60" hidden="1">
              <a:extLst>
                <a:ext uri="{63B3BB69-23CF-44E3-9099-C40C66FF867C}">
                  <a14:compatExt spid="_x0000_s31804"/>
                </a:ext>
                <a:ext uri="{FF2B5EF4-FFF2-40B4-BE49-F238E27FC236}">
                  <a16:creationId xmlns:a16="http://schemas.microsoft.com/office/drawing/2014/main" id="{00000000-0008-0000-03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98</xdr:row>
          <xdr:rowOff>66675</xdr:rowOff>
        </xdr:from>
        <xdr:to>
          <xdr:col>21</xdr:col>
          <xdr:colOff>285750</xdr:colOff>
          <xdr:row>98</xdr:row>
          <xdr:rowOff>285750</xdr:rowOff>
        </xdr:to>
        <xdr:sp macro="" textlink="">
          <xdr:nvSpPr>
            <xdr:cNvPr id="31805" name="Option Button 61" hidden="1">
              <a:extLst>
                <a:ext uri="{63B3BB69-23CF-44E3-9099-C40C66FF867C}">
                  <a14:compatExt spid="_x0000_s31805"/>
                </a:ext>
                <a:ext uri="{FF2B5EF4-FFF2-40B4-BE49-F238E27FC236}">
                  <a16:creationId xmlns:a16="http://schemas.microsoft.com/office/drawing/2014/main" id="{00000000-0008-0000-03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84</xdr:row>
          <xdr:rowOff>28575</xdr:rowOff>
        </xdr:from>
        <xdr:to>
          <xdr:col>25</xdr:col>
          <xdr:colOff>381000</xdr:colOff>
          <xdr:row>84</xdr:row>
          <xdr:rowOff>333375</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3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85</xdr:row>
          <xdr:rowOff>38100</xdr:rowOff>
        </xdr:from>
        <xdr:to>
          <xdr:col>25</xdr:col>
          <xdr:colOff>381000</xdr:colOff>
          <xdr:row>85</xdr:row>
          <xdr:rowOff>381000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3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86</xdr:row>
          <xdr:rowOff>38100</xdr:rowOff>
        </xdr:from>
        <xdr:to>
          <xdr:col>25</xdr:col>
          <xdr:colOff>381000</xdr:colOff>
          <xdr:row>86</xdr:row>
          <xdr:rowOff>381000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3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87</xdr:row>
          <xdr:rowOff>28575</xdr:rowOff>
        </xdr:from>
        <xdr:to>
          <xdr:col>25</xdr:col>
          <xdr:colOff>381000</xdr:colOff>
          <xdr:row>87</xdr:row>
          <xdr:rowOff>333375</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3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88</xdr:row>
          <xdr:rowOff>38100</xdr:rowOff>
        </xdr:from>
        <xdr:to>
          <xdr:col>25</xdr:col>
          <xdr:colOff>381000</xdr:colOff>
          <xdr:row>88</xdr:row>
          <xdr:rowOff>381000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3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89</xdr:row>
          <xdr:rowOff>47625</xdr:rowOff>
        </xdr:from>
        <xdr:to>
          <xdr:col>25</xdr:col>
          <xdr:colOff>381000</xdr:colOff>
          <xdr:row>89</xdr:row>
          <xdr:rowOff>381000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3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90</xdr:row>
          <xdr:rowOff>38100</xdr:rowOff>
        </xdr:from>
        <xdr:to>
          <xdr:col>25</xdr:col>
          <xdr:colOff>381000</xdr:colOff>
          <xdr:row>90</xdr:row>
          <xdr:rowOff>381000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3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91</xdr:row>
          <xdr:rowOff>38100</xdr:rowOff>
        </xdr:from>
        <xdr:to>
          <xdr:col>25</xdr:col>
          <xdr:colOff>381000</xdr:colOff>
          <xdr:row>91</xdr:row>
          <xdr:rowOff>381000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3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92</xdr:row>
          <xdr:rowOff>47625</xdr:rowOff>
        </xdr:from>
        <xdr:to>
          <xdr:col>25</xdr:col>
          <xdr:colOff>381000</xdr:colOff>
          <xdr:row>92</xdr:row>
          <xdr:rowOff>381000</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3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93</xdr:row>
          <xdr:rowOff>57150</xdr:rowOff>
        </xdr:from>
        <xdr:to>
          <xdr:col>25</xdr:col>
          <xdr:colOff>381000</xdr:colOff>
          <xdr:row>93</xdr:row>
          <xdr:rowOff>381000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3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94</xdr:row>
          <xdr:rowOff>47625</xdr:rowOff>
        </xdr:from>
        <xdr:to>
          <xdr:col>25</xdr:col>
          <xdr:colOff>381000</xdr:colOff>
          <xdr:row>94</xdr:row>
          <xdr:rowOff>381000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3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95</xdr:row>
          <xdr:rowOff>57150</xdr:rowOff>
        </xdr:from>
        <xdr:to>
          <xdr:col>25</xdr:col>
          <xdr:colOff>381000</xdr:colOff>
          <xdr:row>95</xdr:row>
          <xdr:rowOff>381000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3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96</xdr:row>
          <xdr:rowOff>47625</xdr:rowOff>
        </xdr:from>
        <xdr:to>
          <xdr:col>25</xdr:col>
          <xdr:colOff>381000</xdr:colOff>
          <xdr:row>96</xdr:row>
          <xdr:rowOff>381000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3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97</xdr:row>
          <xdr:rowOff>38100</xdr:rowOff>
        </xdr:from>
        <xdr:to>
          <xdr:col>25</xdr:col>
          <xdr:colOff>381000</xdr:colOff>
          <xdr:row>97</xdr:row>
          <xdr:rowOff>381000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3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98</xdr:row>
          <xdr:rowOff>38100</xdr:rowOff>
        </xdr:from>
        <xdr:to>
          <xdr:col>25</xdr:col>
          <xdr:colOff>381000</xdr:colOff>
          <xdr:row>98</xdr:row>
          <xdr:rowOff>381000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3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100</xdr:row>
          <xdr:rowOff>28575</xdr:rowOff>
        </xdr:from>
        <xdr:to>
          <xdr:col>25</xdr:col>
          <xdr:colOff>381000</xdr:colOff>
          <xdr:row>100</xdr:row>
          <xdr:rowOff>333375</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3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101</xdr:row>
          <xdr:rowOff>38100</xdr:rowOff>
        </xdr:from>
        <xdr:to>
          <xdr:col>25</xdr:col>
          <xdr:colOff>381000</xdr:colOff>
          <xdr:row>101</xdr:row>
          <xdr:rowOff>381000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3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102</xdr:row>
          <xdr:rowOff>28575</xdr:rowOff>
        </xdr:from>
        <xdr:to>
          <xdr:col>25</xdr:col>
          <xdr:colOff>381000</xdr:colOff>
          <xdr:row>102</xdr:row>
          <xdr:rowOff>333375</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3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103</xdr:row>
          <xdr:rowOff>38100</xdr:rowOff>
        </xdr:from>
        <xdr:to>
          <xdr:col>25</xdr:col>
          <xdr:colOff>381000</xdr:colOff>
          <xdr:row>103</xdr:row>
          <xdr:rowOff>381000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3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104</xdr:row>
          <xdr:rowOff>28575</xdr:rowOff>
        </xdr:from>
        <xdr:to>
          <xdr:col>25</xdr:col>
          <xdr:colOff>381000</xdr:colOff>
          <xdr:row>104</xdr:row>
          <xdr:rowOff>333375</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3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twoCellAnchor editAs="absolute">
    <xdr:from>
      <xdr:col>20</xdr:col>
      <xdr:colOff>226347</xdr:colOff>
      <xdr:row>66</xdr:row>
      <xdr:rowOff>195961</xdr:rowOff>
    </xdr:from>
    <xdr:to>
      <xdr:col>29</xdr:col>
      <xdr:colOff>415928</xdr:colOff>
      <xdr:row>79</xdr:row>
      <xdr:rowOff>284305</xdr:rowOff>
    </xdr:to>
    <xdr:graphicFrame macro="">
      <xdr:nvGraphicFramePr>
        <xdr:cNvPr id="4" name="グラフ 3">
          <a:extLst>
            <a:ext uri="{FF2B5EF4-FFF2-40B4-BE49-F238E27FC236}">
              <a16:creationId xmlns:a16="http://schemas.microsoft.com/office/drawing/2014/main" id="{2409E879-9929-4CCC-AC8C-09DBD08FC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27067</xdr:colOff>
      <xdr:row>67</xdr:row>
      <xdr:rowOff>1504</xdr:rowOff>
    </xdr:from>
    <xdr:to>
      <xdr:col>12</xdr:col>
      <xdr:colOff>593458</xdr:colOff>
      <xdr:row>79</xdr:row>
      <xdr:rowOff>283616</xdr:rowOff>
    </xdr:to>
    <xdr:graphicFrame macro="">
      <xdr:nvGraphicFramePr>
        <xdr:cNvPr id="5" name="グラフ 4">
          <a:extLst>
            <a:ext uri="{FF2B5EF4-FFF2-40B4-BE49-F238E27FC236}">
              <a16:creationId xmlns:a16="http://schemas.microsoft.com/office/drawing/2014/main" id="{1A5DE2CD-0F54-411F-B96D-A2291D8CC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30443</xdr:colOff>
      <xdr:row>65</xdr:row>
      <xdr:rowOff>75268</xdr:rowOff>
    </xdr:from>
    <xdr:to>
      <xdr:col>12</xdr:col>
      <xdr:colOff>297704</xdr:colOff>
      <xdr:row>67</xdr:row>
      <xdr:rowOff>16063</xdr:rowOff>
    </xdr:to>
    <xdr:sp macro="" textlink="">
      <xdr:nvSpPr>
        <xdr:cNvPr id="6" name="テキスト ボックス 5">
          <a:extLst>
            <a:ext uri="{FF2B5EF4-FFF2-40B4-BE49-F238E27FC236}">
              <a16:creationId xmlns:a16="http://schemas.microsoft.com/office/drawing/2014/main" id="{5CDAFE67-D37B-440D-92AF-506AF947FFB5}"/>
            </a:ext>
          </a:extLst>
        </xdr:cNvPr>
        <xdr:cNvSpPr txBox="1"/>
      </xdr:nvSpPr>
      <xdr:spPr>
        <a:xfrm>
          <a:off x="3294343" y="17096443"/>
          <a:ext cx="2858061" cy="42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←表示したいエネルギーを選択</a:t>
          </a:r>
        </a:p>
      </xdr:txBody>
    </xdr:sp>
    <xdr:clientData fPrintsWithSheet="0"/>
  </xdr:twoCellAnchor>
  <xdr:twoCellAnchor editAs="oneCell">
    <xdr:from>
      <xdr:col>12</xdr:col>
      <xdr:colOff>263071</xdr:colOff>
      <xdr:row>51</xdr:row>
      <xdr:rowOff>269075</xdr:rowOff>
    </xdr:from>
    <xdr:to>
      <xdr:col>12</xdr:col>
      <xdr:colOff>450396</xdr:colOff>
      <xdr:row>52</xdr:row>
      <xdr:rowOff>107814</xdr:rowOff>
    </xdr:to>
    <xdr:sp macro="" textlink="">
      <xdr:nvSpPr>
        <xdr:cNvPr id="11" name="矢印: 右 10">
          <a:extLst>
            <a:ext uri="{FF2B5EF4-FFF2-40B4-BE49-F238E27FC236}">
              <a16:creationId xmlns:a16="http://schemas.microsoft.com/office/drawing/2014/main" id="{4EC8EEDB-31EE-4D71-B387-4680BEACA756}"/>
            </a:ext>
          </a:extLst>
        </xdr:cNvPr>
        <xdr:cNvSpPr/>
      </xdr:nvSpPr>
      <xdr:spPr>
        <a:xfrm>
          <a:off x="6117771" y="13223075"/>
          <a:ext cx="187325" cy="207038"/>
        </a:xfrm>
        <a:prstGeom prst="rightArrow">
          <a:avLst/>
        </a:prstGeom>
        <a:solidFill>
          <a:schemeClr val="accent6">
            <a:lumMod val="20000"/>
            <a:lumOff val="8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930889</xdr:colOff>
      <xdr:row>5</xdr:row>
      <xdr:rowOff>27214</xdr:rowOff>
    </xdr:from>
    <xdr:to>
      <xdr:col>32</xdr:col>
      <xdr:colOff>0</xdr:colOff>
      <xdr:row>7</xdr:row>
      <xdr:rowOff>14434</xdr:rowOff>
    </xdr:to>
    <xdr:sp macro="" textlink="">
      <xdr:nvSpPr>
        <xdr:cNvPr id="12" name="テキスト ボックス 11">
          <a:extLst>
            <a:ext uri="{FF2B5EF4-FFF2-40B4-BE49-F238E27FC236}">
              <a16:creationId xmlns:a16="http://schemas.microsoft.com/office/drawing/2014/main" id="{10EA6ACD-2D06-4BB1-9A25-E15297C5FC3C}"/>
            </a:ext>
          </a:extLst>
        </xdr:cNvPr>
        <xdr:cNvSpPr txBox="1"/>
      </xdr:nvSpPr>
      <xdr:spPr>
        <a:xfrm>
          <a:off x="13851271" y="1842567"/>
          <a:ext cx="4246229" cy="42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14</xdr:col>
      <xdr:colOff>601115</xdr:colOff>
      <xdr:row>5</xdr:row>
      <xdr:rowOff>27214</xdr:rowOff>
    </xdr:from>
    <xdr:to>
      <xdr:col>21</xdr:col>
      <xdr:colOff>522674</xdr:colOff>
      <xdr:row>7</xdr:row>
      <xdr:rowOff>14434</xdr:rowOff>
    </xdr:to>
    <xdr:sp macro="" textlink="">
      <xdr:nvSpPr>
        <xdr:cNvPr id="13" name="テキスト ボックス 12">
          <a:extLst>
            <a:ext uri="{FF2B5EF4-FFF2-40B4-BE49-F238E27FC236}">
              <a16:creationId xmlns:a16="http://schemas.microsoft.com/office/drawing/2014/main" id="{3E75F262-C9A3-4920-B2D9-3A5C3DEF584A}"/>
            </a:ext>
          </a:extLst>
        </xdr:cNvPr>
        <xdr:cNvSpPr txBox="1"/>
      </xdr:nvSpPr>
      <xdr:spPr>
        <a:xfrm>
          <a:off x="7799294"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xdr:twoCellAnchor editAs="oneCell">
    <xdr:from>
      <xdr:col>4</xdr:col>
      <xdr:colOff>625929</xdr:colOff>
      <xdr:row>5</xdr:row>
      <xdr:rowOff>27214</xdr:rowOff>
    </xdr:from>
    <xdr:to>
      <xdr:col>12</xdr:col>
      <xdr:colOff>125666</xdr:colOff>
      <xdr:row>7</xdr:row>
      <xdr:rowOff>14434</xdr:rowOff>
    </xdr:to>
    <xdr:sp macro="" textlink="">
      <xdr:nvSpPr>
        <xdr:cNvPr id="14" name="テキスト ボックス 13">
          <a:extLst>
            <a:ext uri="{FF2B5EF4-FFF2-40B4-BE49-F238E27FC236}">
              <a16:creationId xmlns:a16="http://schemas.microsoft.com/office/drawing/2014/main" id="{88B3807A-54EB-404D-8FE5-84121907EA5B}"/>
            </a:ext>
          </a:extLst>
        </xdr:cNvPr>
        <xdr:cNvSpPr txBox="1"/>
      </xdr:nvSpPr>
      <xdr:spPr>
        <a:xfrm>
          <a:off x="1524000" y="1850571"/>
          <a:ext cx="4493559" cy="422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メイリオ" panose="020B0604030504040204" pitchFamily="50" charset="-128"/>
              <a:ea typeface="メイリオ" panose="020B0604030504040204" pitchFamily="50" charset="-128"/>
            </a:rPr>
            <a:t>修正を行う場合は、このシート上で直接上書き更新してください。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431609</xdr:colOff>
          <xdr:row>48</xdr:row>
          <xdr:rowOff>121500</xdr:rowOff>
        </xdr:from>
        <xdr:to>
          <xdr:col>29</xdr:col>
          <xdr:colOff>0</xdr:colOff>
          <xdr:row>55</xdr:row>
          <xdr:rowOff>0</xdr:rowOff>
        </xdr:to>
        <xdr:pic>
          <xdr:nvPicPr>
            <xdr:cNvPr id="15" name="図 14">
              <a:extLst>
                <a:ext uri="{FF2B5EF4-FFF2-40B4-BE49-F238E27FC236}">
                  <a16:creationId xmlns:a16="http://schemas.microsoft.com/office/drawing/2014/main" id="{DD1BE5ED-79D7-1BFD-3ECA-388CE5DEE3F6}"/>
                </a:ext>
              </a:extLst>
            </xdr:cNvPr>
            <xdr:cNvPicPr>
              <a:picLocks noChangeAspect="1" noChangeArrowheads="1"/>
              <a:extLst>
                <a:ext uri="{84589F7E-364E-4C9E-8A38-B11213B215E9}">
                  <a14:cameraTool cellRange="各年度エネルギー使用量比較!$A$22:$D$29" spid="_x0000_s32408"/>
                </a:ext>
              </a:extLst>
            </xdr:cNvPicPr>
          </xdr:nvPicPr>
          <xdr:blipFill>
            <a:blip xmlns:r="http://schemas.openxmlformats.org/officeDocument/2006/relationships" r:embed="rId3"/>
            <a:srcRect/>
            <a:stretch>
              <a:fillRect/>
            </a:stretch>
          </xdr:blipFill>
          <xdr:spPr bwMode="auto">
            <a:xfrm>
              <a:off x="12537018" y="12174955"/>
              <a:ext cx="4400164" cy="27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xdr:row>
          <xdr:rowOff>57150</xdr:rowOff>
        </xdr:from>
        <xdr:to>
          <xdr:col>16</xdr:col>
          <xdr:colOff>428625</xdr:colOff>
          <xdr:row>8</xdr:row>
          <xdr:rowOff>285750</xdr:rowOff>
        </xdr:to>
        <xdr:sp macro="" textlink="">
          <xdr:nvSpPr>
            <xdr:cNvPr id="31917" name="Option Button 173" hidden="1">
              <a:extLst>
                <a:ext uri="{63B3BB69-23CF-44E3-9099-C40C66FF867C}">
                  <a14:compatExt spid="_x0000_s31917"/>
                </a:ext>
                <a:ext uri="{FF2B5EF4-FFF2-40B4-BE49-F238E27FC236}">
                  <a16:creationId xmlns:a16="http://schemas.microsoft.com/office/drawing/2014/main" id="{00000000-0008-0000-03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57150</xdr:rowOff>
        </xdr:from>
        <xdr:to>
          <xdr:col>18</xdr:col>
          <xdr:colOff>523875</xdr:colOff>
          <xdr:row>8</xdr:row>
          <xdr:rowOff>285750</xdr:rowOff>
        </xdr:to>
        <xdr:sp macro="" textlink="">
          <xdr:nvSpPr>
            <xdr:cNvPr id="31918" name="Option Button 174" hidden="1">
              <a:extLst>
                <a:ext uri="{63B3BB69-23CF-44E3-9099-C40C66FF867C}">
                  <a14:compatExt spid="_x0000_s31918"/>
                </a:ext>
                <a:ext uri="{FF2B5EF4-FFF2-40B4-BE49-F238E27FC236}">
                  <a16:creationId xmlns:a16="http://schemas.microsoft.com/office/drawing/2014/main" id="{00000000-0008-0000-03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xdr:row>
          <xdr:rowOff>57150</xdr:rowOff>
        </xdr:from>
        <xdr:to>
          <xdr:col>25</xdr:col>
          <xdr:colOff>457200</xdr:colOff>
          <xdr:row>8</xdr:row>
          <xdr:rowOff>285750</xdr:rowOff>
        </xdr:to>
        <xdr:sp macro="" textlink="">
          <xdr:nvSpPr>
            <xdr:cNvPr id="31919" name="Option Button 175" hidden="1">
              <a:extLst>
                <a:ext uri="{63B3BB69-23CF-44E3-9099-C40C66FF867C}">
                  <a14:compatExt spid="_x0000_s31919"/>
                </a:ext>
                <a:ext uri="{FF2B5EF4-FFF2-40B4-BE49-F238E27FC236}">
                  <a16:creationId xmlns:a16="http://schemas.microsoft.com/office/drawing/2014/main" id="{00000000-0008-0000-03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57150</xdr:rowOff>
        </xdr:from>
        <xdr:to>
          <xdr:col>27</xdr:col>
          <xdr:colOff>523875</xdr:colOff>
          <xdr:row>8</xdr:row>
          <xdr:rowOff>285750</xdr:rowOff>
        </xdr:to>
        <xdr:sp macro="" textlink="">
          <xdr:nvSpPr>
            <xdr:cNvPr id="31920" name="Option Button 176" hidden="1">
              <a:extLst>
                <a:ext uri="{63B3BB69-23CF-44E3-9099-C40C66FF867C}">
                  <a14:compatExt spid="_x0000_s31920"/>
                </a:ext>
                <a:ext uri="{FF2B5EF4-FFF2-40B4-BE49-F238E27FC236}">
                  <a16:creationId xmlns:a16="http://schemas.microsoft.com/office/drawing/2014/main" id="{00000000-0008-0000-03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xdr:row>
          <xdr:rowOff>57150</xdr:rowOff>
        </xdr:from>
        <xdr:to>
          <xdr:col>29</xdr:col>
          <xdr:colOff>333375</xdr:colOff>
          <xdr:row>8</xdr:row>
          <xdr:rowOff>285750</xdr:rowOff>
        </xdr:to>
        <xdr:sp macro="" textlink="">
          <xdr:nvSpPr>
            <xdr:cNvPr id="31921" name="Option Button 177" hidden="1">
              <a:extLst>
                <a:ext uri="{63B3BB69-23CF-44E3-9099-C40C66FF867C}">
                  <a14:compatExt spid="_x0000_s31921"/>
                </a:ext>
                <a:ext uri="{FF2B5EF4-FFF2-40B4-BE49-F238E27FC236}">
                  <a16:creationId xmlns:a16="http://schemas.microsoft.com/office/drawing/2014/main" id="{00000000-0008-0000-03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7</xdr:row>
          <xdr:rowOff>266700</xdr:rowOff>
        </xdr:from>
        <xdr:to>
          <xdr:col>21</xdr:col>
          <xdr:colOff>47625</xdr:colOff>
          <xdr:row>9</xdr:row>
          <xdr:rowOff>95250</xdr:rowOff>
        </xdr:to>
        <xdr:sp macro="" textlink="">
          <xdr:nvSpPr>
            <xdr:cNvPr id="31922" name="Group Box 178" hidden="1">
              <a:extLst>
                <a:ext uri="{63B3BB69-23CF-44E3-9099-C40C66FF867C}">
                  <a14:compatExt spid="_x0000_s31922"/>
                </a:ext>
                <a:ext uri="{FF2B5EF4-FFF2-40B4-BE49-F238E27FC236}">
                  <a16:creationId xmlns:a16="http://schemas.microsoft.com/office/drawing/2014/main" id="{00000000-0008-0000-0300-0000B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466725</xdr:colOff>
          <xdr:row>7</xdr:row>
          <xdr:rowOff>276225</xdr:rowOff>
        </xdr:from>
        <xdr:to>
          <xdr:col>29</xdr:col>
          <xdr:colOff>476250</xdr:colOff>
          <xdr:row>9</xdr:row>
          <xdr:rowOff>95250</xdr:rowOff>
        </xdr:to>
        <xdr:sp macro="" textlink="">
          <xdr:nvSpPr>
            <xdr:cNvPr id="31923" name="Group Box 179" hidden="1">
              <a:extLst>
                <a:ext uri="{63B3BB69-23CF-44E3-9099-C40C66FF867C}">
                  <a14:compatExt spid="_x0000_s31923"/>
                </a:ext>
                <a:ext uri="{FF2B5EF4-FFF2-40B4-BE49-F238E27FC236}">
                  <a16:creationId xmlns:a16="http://schemas.microsoft.com/office/drawing/2014/main" id="{00000000-0008-0000-0300-0000B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xdr:twoCellAnchor editAs="oneCell">
    <xdr:from>
      <xdr:col>13</xdr:col>
      <xdr:colOff>302559</xdr:colOff>
      <xdr:row>82</xdr:row>
      <xdr:rowOff>0</xdr:rowOff>
    </xdr:from>
    <xdr:to>
      <xdr:col>25</xdr:col>
      <xdr:colOff>278896</xdr:colOff>
      <xdr:row>83</xdr:row>
      <xdr:rowOff>89674</xdr:rowOff>
    </xdr:to>
    <xdr:sp macro="" textlink="">
      <xdr:nvSpPr>
        <xdr:cNvPr id="20" name="テキスト ボックス 19">
          <a:extLst>
            <a:ext uri="{FF2B5EF4-FFF2-40B4-BE49-F238E27FC236}">
              <a16:creationId xmlns:a16="http://schemas.microsoft.com/office/drawing/2014/main" id="{07F0FB2F-9B31-4A0B-85C6-1A5B65E12617}"/>
            </a:ext>
          </a:extLst>
        </xdr:cNvPr>
        <xdr:cNvSpPr txBox="1"/>
      </xdr:nvSpPr>
      <xdr:spPr>
        <a:xfrm>
          <a:off x="6824383" y="23879735"/>
          <a:ext cx="8098492" cy="414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メイリオ" panose="020B0604030504040204" pitchFamily="50" charset="-128"/>
              <a:ea typeface="メイリオ" panose="020B0604030504040204" pitchFamily="50" charset="-128"/>
            </a:rPr>
            <a:t>↓一部でも実施していれば「既に実施済み」をご選択ください。</a:t>
          </a:r>
        </a:p>
      </xdr:txBody>
    </xdr:sp>
    <xdr:clientData fPrintsWithSheet="0"/>
  </xdr:twoCellAnchor>
  <xdr:twoCellAnchor>
    <xdr:from>
      <xdr:col>73</xdr:col>
      <xdr:colOff>0</xdr:colOff>
      <xdr:row>17</xdr:row>
      <xdr:rowOff>0</xdr:rowOff>
    </xdr:from>
    <xdr:to>
      <xdr:col>83</xdr:col>
      <xdr:colOff>180735</xdr:colOff>
      <xdr:row>19</xdr:row>
      <xdr:rowOff>5369</xdr:rowOff>
    </xdr:to>
    <xdr:grpSp>
      <xdr:nvGrpSpPr>
        <xdr:cNvPr id="8" name="グループ化 7">
          <a:extLst>
            <a:ext uri="{FF2B5EF4-FFF2-40B4-BE49-F238E27FC236}">
              <a16:creationId xmlns:a16="http://schemas.microsoft.com/office/drawing/2014/main" id="{6E15E479-FCB8-42BB-9358-1C28E2FA6233}"/>
            </a:ext>
          </a:extLst>
        </xdr:cNvPr>
        <xdr:cNvGrpSpPr/>
      </xdr:nvGrpSpPr>
      <xdr:grpSpPr>
        <a:xfrm>
          <a:off x="22955250" y="5429250"/>
          <a:ext cx="8038860" cy="624494"/>
          <a:chOff x="48182894" y="6517821"/>
          <a:chExt cx="8136912" cy="675583"/>
        </a:xfrm>
      </xdr:grpSpPr>
      <xdr:sp macro="" textlink="">
        <xdr:nvSpPr>
          <xdr:cNvPr id="21" name="テキスト ボックス 20">
            <a:extLst>
              <a:ext uri="{FF2B5EF4-FFF2-40B4-BE49-F238E27FC236}">
                <a16:creationId xmlns:a16="http://schemas.microsoft.com/office/drawing/2014/main" id="{C0C711C5-68F4-09C8-ABAA-8573CADF691C}"/>
              </a:ext>
            </a:extLst>
          </xdr:cNvPr>
          <xdr:cNvSpPr txBox="1"/>
        </xdr:nvSpPr>
        <xdr:spPr>
          <a:xfrm>
            <a:off x="48182894" y="6517821"/>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使用量だけでなく、コスト面も含めて管理することは、脱炭素経営・省エネを進めるうえで大変効果的です。</a:t>
            </a:r>
          </a:p>
        </xdr:txBody>
      </xdr:sp>
      <xdr:sp macro="" textlink="">
        <xdr:nvSpPr>
          <xdr:cNvPr id="22" name="テキスト ボックス 21">
            <a:extLst>
              <a:ext uri="{FF2B5EF4-FFF2-40B4-BE49-F238E27FC236}">
                <a16:creationId xmlns:a16="http://schemas.microsoft.com/office/drawing/2014/main" id="{B3EAFD00-EA80-CDF8-9A5D-8A0184B57A64}"/>
              </a:ext>
            </a:extLst>
          </xdr:cNvPr>
          <xdr:cNvSpPr txBox="1"/>
        </xdr:nvSpPr>
        <xdr:spPr>
          <a:xfrm>
            <a:off x="48182894" y="6776357"/>
            <a:ext cx="8136912" cy="4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solidFill>
                  <a:srgbClr val="FF0000"/>
                </a:solidFill>
                <a:latin typeface="メイリオ" panose="020B0604030504040204" pitchFamily="50" charset="-128"/>
                <a:ea typeface="メイリオ" panose="020B0604030504040204" pitchFamily="50" charset="-128"/>
              </a:rPr>
              <a:t>こちらに入力した使用料金は、左下の「各月エネルギー使用量」のグラフに反映されます。</a:t>
            </a:r>
          </a:p>
        </xdr:txBody>
      </xdr:sp>
    </xdr:grpSp>
    <xdr:clientData fPrintsWithSheet="0"/>
  </xdr:twoCellAnchor>
  <xdr:twoCellAnchor editAs="absolute">
    <xdr:from>
      <xdr:col>12</xdr:col>
      <xdr:colOff>622216</xdr:colOff>
      <xdr:row>66</xdr:row>
      <xdr:rowOff>216315</xdr:rowOff>
    </xdr:from>
    <xdr:to>
      <xdr:col>20</xdr:col>
      <xdr:colOff>128764</xdr:colOff>
      <xdr:row>78</xdr:row>
      <xdr:rowOff>285378</xdr:rowOff>
    </xdr:to>
    <xdr:graphicFrame macro="">
      <xdr:nvGraphicFramePr>
        <xdr:cNvPr id="24" name="グラフ 23">
          <a:extLst>
            <a:ext uri="{FF2B5EF4-FFF2-40B4-BE49-F238E27FC236}">
              <a16:creationId xmlns:a16="http://schemas.microsoft.com/office/drawing/2014/main" id="{E5F1D727-688E-4FCD-B853-F442B02811E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13</xdr:col>
          <xdr:colOff>371475</xdr:colOff>
          <xdr:row>99</xdr:row>
          <xdr:rowOff>66675</xdr:rowOff>
        </xdr:from>
        <xdr:to>
          <xdr:col>15</xdr:col>
          <xdr:colOff>304800</xdr:colOff>
          <xdr:row>99</xdr:row>
          <xdr:rowOff>285750</xdr:rowOff>
        </xdr:to>
        <xdr:sp macro="" textlink="">
          <xdr:nvSpPr>
            <xdr:cNvPr id="32365" name="Option Button 621" hidden="1">
              <a:extLst>
                <a:ext uri="{63B3BB69-23CF-44E3-9099-C40C66FF867C}">
                  <a14:compatExt spid="_x0000_s32365"/>
                </a:ext>
                <a:ext uri="{FF2B5EF4-FFF2-40B4-BE49-F238E27FC236}">
                  <a16:creationId xmlns:a16="http://schemas.microsoft.com/office/drawing/2014/main" id="{00000000-0008-0000-0300-00006D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99</xdr:row>
          <xdr:rowOff>66675</xdr:rowOff>
        </xdr:from>
        <xdr:to>
          <xdr:col>18</xdr:col>
          <xdr:colOff>571500</xdr:colOff>
          <xdr:row>99</xdr:row>
          <xdr:rowOff>295275</xdr:rowOff>
        </xdr:to>
        <xdr:sp macro="" textlink="">
          <xdr:nvSpPr>
            <xdr:cNvPr id="32366" name="Option Button 622" hidden="1">
              <a:extLst>
                <a:ext uri="{63B3BB69-23CF-44E3-9099-C40C66FF867C}">
                  <a14:compatExt spid="_x0000_s32366"/>
                </a:ext>
                <a:ext uri="{FF2B5EF4-FFF2-40B4-BE49-F238E27FC236}">
                  <a16:creationId xmlns:a16="http://schemas.microsoft.com/office/drawing/2014/main" id="{00000000-0008-0000-0300-00006E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381000</xdr:colOff>
          <xdr:row>99</xdr:row>
          <xdr:rowOff>66675</xdr:rowOff>
        </xdr:from>
        <xdr:to>
          <xdr:col>21</xdr:col>
          <xdr:colOff>295275</xdr:colOff>
          <xdr:row>99</xdr:row>
          <xdr:rowOff>295275</xdr:rowOff>
        </xdr:to>
        <xdr:sp macro="" textlink="">
          <xdr:nvSpPr>
            <xdr:cNvPr id="32367" name="Option Button 623" hidden="1">
              <a:extLst>
                <a:ext uri="{63B3BB69-23CF-44E3-9099-C40C66FF867C}">
                  <a14:compatExt spid="_x0000_s32367"/>
                </a:ext>
                <a:ext uri="{FF2B5EF4-FFF2-40B4-BE49-F238E27FC236}">
                  <a16:creationId xmlns:a16="http://schemas.microsoft.com/office/drawing/2014/main" id="{00000000-0008-0000-0300-00006F7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99</xdr:row>
          <xdr:rowOff>38100</xdr:rowOff>
        </xdr:from>
        <xdr:to>
          <xdr:col>25</xdr:col>
          <xdr:colOff>381000</xdr:colOff>
          <xdr:row>99</xdr:row>
          <xdr:rowOff>381000</xdr:rowOff>
        </xdr:to>
        <xdr:sp macro="" textlink="">
          <xdr:nvSpPr>
            <xdr:cNvPr id="32368" name="Group Box 624" hidden="1">
              <a:extLst>
                <a:ext uri="{63B3BB69-23CF-44E3-9099-C40C66FF867C}">
                  <a14:compatExt spid="_x0000_s32368"/>
                </a:ext>
                <a:ext uri="{FF2B5EF4-FFF2-40B4-BE49-F238E27FC236}">
                  <a16:creationId xmlns:a16="http://schemas.microsoft.com/office/drawing/2014/main" id="{00000000-0008-0000-0300-0000707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12</xdr:col>
      <xdr:colOff>59120</xdr:colOff>
      <xdr:row>26</xdr:row>
      <xdr:rowOff>228600</xdr:rowOff>
    </xdr:from>
    <xdr:to>
      <xdr:col>21</xdr:col>
      <xdr:colOff>789</xdr:colOff>
      <xdr:row>40</xdr:row>
      <xdr:rowOff>6569</xdr:rowOff>
    </xdr:to>
    <xdr:graphicFrame macro="">
      <xdr:nvGraphicFramePr>
        <xdr:cNvPr id="3" name="グラフ 2">
          <a:extLst>
            <a:ext uri="{FF2B5EF4-FFF2-40B4-BE49-F238E27FC236}">
              <a16:creationId xmlns:a16="http://schemas.microsoft.com/office/drawing/2014/main" id="{1AC6F182-1303-BE97-6532-AB4CE6BD0E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4</xdr:row>
      <xdr:rowOff>123825</xdr:rowOff>
    </xdr:from>
    <xdr:to>
      <xdr:col>9</xdr:col>
      <xdr:colOff>681499</xdr:colOff>
      <xdr:row>4</xdr:row>
      <xdr:rowOff>123825</xdr:rowOff>
    </xdr:to>
    <xdr:cxnSp macro="">
      <xdr:nvCxnSpPr>
        <xdr:cNvPr id="2" name="直線矢印コネクタ 1">
          <a:extLst>
            <a:ext uri="{FF2B5EF4-FFF2-40B4-BE49-F238E27FC236}">
              <a16:creationId xmlns:a16="http://schemas.microsoft.com/office/drawing/2014/main" id="{C449F88F-098E-499A-9330-0DBBD85D1D3B}"/>
            </a:ext>
          </a:extLst>
        </xdr:cNvPr>
        <xdr:cNvCxnSpPr/>
      </xdr:nvCxnSpPr>
      <xdr:spPr>
        <a:xfrm flipH="1">
          <a:off x="3752850" y="1047750"/>
          <a:ext cx="2805574" cy="0"/>
        </a:xfrm>
        <a:prstGeom prst="straightConnector1">
          <a:avLst/>
        </a:prstGeom>
        <a:ln>
          <a:solidFill>
            <a:schemeClr val="tx1"/>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16" Type="http://schemas.openxmlformats.org/officeDocument/2006/relationships/ctrlProp" Target="../ctrlProps/ctrlProp99.xml"/><Relationship Id="rId11" Type="http://schemas.openxmlformats.org/officeDocument/2006/relationships/ctrlProp" Target="../ctrlProps/ctrlProp94.xml"/><Relationship Id="rId32" Type="http://schemas.openxmlformats.org/officeDocument/2006/relationships/ctrlProp" Target="../ctrlProps/ctrlProp115.xml"/><Relationship Id="rId37" Type="http://schemas.openxmlformats.org/officeDocument/2006/relationships/ctrlProp" Target="../ctrlProps/ctrlProp120.xml"/><Relationship Id="rId53" Type="http://schemas.openxmlformats.org/officeDocument/2006/relationships/ctrlProp" Target="../ctrlProps/ctrlProp136.xml"/><Relationship Id="rId58" Type="http://schemas.openxmlformats.org/officeDocument/2006/relationships/ctrlProp" Target="../ctrlProps/ctrlProp141.xml"/><Relationship Id="rId74" Type="http://schemas.openxmlformats.org/officeDocument/2006/relationships/ctrlProp" Target="../ctrlProps/ctrlProp157.xml"/><Relationship Id="rId79" Type="http://schemas.openxmlformats.org/officeDocument/2006/relationships/ctrlProp" Target="../ctrlProps/ctrlProp162.xml"/><Relationship Id="rId5" Type="http://schemas.openxmlformats.org/officeDocument/2006/relationships/ctrlProp" Target="../ctrlProps/ctrlProp88.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29" Type="http://schemas.openxmlformats.org/officeDocument/2006/relationships/ctrlProp" Target="../ctrlProps/ctrlProp112.xml"/><Relationship Id="rId24" Type="http://schemas.openxmlformats.org/officeDocument/2006/relationships/ctrlProp" Target="../ctrlProps/ctrlProp107.xml"/><Relationship Id="rId40" Type="http://schemas.openxmlformats.org/officeDocument/2006/relationships/ctrlProp" Target="../ctrlProps/ctrlProp123.xml"/><Relationship Id="rId45" Type="http://schemas.openxmlformats.org/officeDocument/2006/relationships/ctrlProp" Target="../ctrlProps/ctrlProp128.xml"/><Relationship Id="rId66" Type="http://schemas.openxmlformats.org/officeDocument/2006/relationships/ctrlProp" Target="../ctrlProps/ctrlProp149.xml"/><Relationship Id="rId87" Type="http://schemas.openxmlformats.org/officeDocument/2006/relationships/ctrlProp" Target="../ctrlProps/ctrlProp170.xml"/><Relationship Id="rId61" Type="http://schemas.openxmlformats.org/officeDocument/2006/relationships/ctrlProp" Target="../ctrlProps/ctrlProp144.xml"/><Relationship Id="rId82" Type="http://schemas.openxmlformats.org/officeDocument/2006/relationships/ctrlProp" Target="../ctrlProps/ctrlProp165.xml"/><Relationship Id="rId19"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95.xml"/><Relationship Id="rId21" Type="http://schemas.openxmlformats.org/officeDocument/2006/relationships/ctrlProp" Target="../ctrlProps/ctrlProp190.xml"/><Relationship Id="rId42" Type="http://schemas.openxmlformats.org/officeDocument/2006/relationships/ctrlProp" Target="../ctrlProps/ctrlProp211.xml"/><Relationship Id="rId47" Type="http://schemas.openxmlformats.org/officeDocument/2006/relationships/ctrlProp" Target="../ctrlProps/ctrlProp216.xml"/><Relationship Id="rId63" Type="http://schemas.openxmlformats.org/officeDocument/2006/relationships/ctrlProp" Target="../ctrlProps/ctrlProp232.xml"/><Relationship Id="rId68" Type="http://schemas.openxmlformats.org/officeDocument/2006/relationships/ctrlProp" Target="../ctrlProps/ctrlProp237.xml"/><Relationship Id="rId84" Type="http://schemas.openxmlformats.org/officeDocument/2006/relationships/ctrlProp" Target="../ctrlProps/ctrlProp253.xml"/><Relationship Id="rId89" Type="http://schemas.openxmlformats.org/officeDocument/2006/relationships/ctrlProp" Target="../ctrlProps/ctrlProp258.xml"/><Relationship Id="rId16" Type="http://schemas.openxmlformats.org/officeDocument/2006/relationships/ctrlProp" Target="../ctrlProps/ctrlProp185.xml"/><Relationship Id="rId11" Type="http://schemas.openxmlformats.org/officeDocument/2006/relationships/ctrlProp" Target="../ctrlProps/ctrlProp180.xml"/><Relationship Id="rId32" Type="http://schemas.openxmlformats.org/officeDocument/2006/relationships/ctrlProp" Target="../ctrlProps/ctrlProp201.xml"/><Relationship Id="rId37" Type="http://schemas.openxmlformats.org/officeDocument/2006/relationships/ctrlProp" Target="../ctrlProps/ctrlProp206.xml"/><Relationship Id="rId53" Type="http://schemas.openxmlformats.org/officeDocument/2006/relationships/ctrlProp" Target="../ctrlProps/ctrlProp222.xml"/><Relationship Id="rId58" Type="http://schemas.openxmlformats.org/officeDocument/2006/relationships/ctrlProp" Target="../ctrlProps/ctrlProp227.xml"/><Relationship Id="rId74" Type="http://schemas.openxmlformats.org/officeDocument/2006/relationships/ctrlProp" Target="../ctrlProps/ctrlProp243.xml"/><Relationship Id="rId79" Type="http://schemas.openxmlformats.org/officeDocument/2006/relationships/ctrlProp" Target="../ctrlProps/ctrlProp248.xml"/><Relationship Id="rId5" Type="http://schemas.openxmlformats.org/officeDocument/2006/relationships/ctrlProp" Target="../ctrlProps/ctrlProp174.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56" Type="http://schemas.openxmlformats.org/officeDocument/2006/relationships/ctrlProp" Target="../ctrlProps/ctrlProp225.xml"/><Relationship Id="rId64" Type="http://schemas.openxmlformats.org/officeDocument/2006/relationships/ctrlProp" Target="../ctrlProps/ctrlProp233.xml"/><Relationship Id="rId69" Type="http://schemas.openxmlformats.org/officeDocument/2006/relationships/ctrlProp" Target="../ctrlProps/ctrlProp238.xml"/><Relationship Id="rId77" Type="http://schemas.openxmlformats.org/officeDocument/2006/relationships/ctrlProp" Target="../ctrlProps/ctrlProp246.xml"/><Relationship Id="rId8" Type="http://schemas.openxmlformats.org/officeDocument/2006/relationships/ctrlProp" Target="../ctrlProps/ctrlProp177.xml"/><Relationship Id="rId51" Type="http://schemas.openxmlformats.org/officeDocument/2006/relationships/ctrlProp" Target="../ctrlProps/ctrlProp220.xml"/><Relationship Id="rId72" Type="http://schemas.openxmlformats.org/officeDocument/2006/relationships/ctrlProp" Target="../ctrlProps/ctrlProp241.xml"/><Relationship Id="rId80" Type="http://schemas.openxmlformats.org/officeDocument/2006/relationships/ctrlProp" Target="../ctrlProps/ctrlProp249.xml"/><Relationship Id="rId85" Type="http://schemas.openxmlformats.org/officeDocument/2006/relationships/ctrlProp" Target="../ctrlProps/ctrlProp254.xml"/><Relationship Id="rId3" Type="http://schemas.openxmlformats.org/officeDocument/2006/relationships/vmlDrawing" Target="../drawings/vmlDrawing3.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59" Type="http://schemas.openxmlformats.org/officeDocument/2006/relationships/ctrlProp" Target="../ctrlProps/ctrlProp228.xml"/><Relationship Id="rId67" Type="http://schemas.openxmlformats.org/officeDocument/2006/relationships/ctrlProp" Target="../ctrlProps/ctrlProp236.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trlProp" Target="../ctrlProps/ctrlProp223.xml"/><Relationship Id="rId62" Type="http://schemas.openxmlformats.org/officeDocument/2006/relationships/ctrlProp" Target="../ctrlProps/ctrlProp231.xml"/><Relationship Id="rId70" Type="http://schemas.openxmlformats.org/officeDocument/2006/relationships/ctrlProp" Target="../ctrlProps/ctrlProp239.xml"/><Relationship Id="rId75" Type="http://schemas.openxmlformats.org/officeDocument/2006/relationships/ctrlProp" Target="../ctrlProps/ctrlProp244.xml"/><Relationship Id="rId83" Type="http://schemas.openxmlformats.org/officeDocument/2006/relationships/ctrlProp" Target="../ctrlProps/ctrlProp252.xml"/><Relationship Id="rId88" Type="http://schemas.openxmlformats.org/officeDocument/2006/relationships/ctrlProp" Target="../ctrlProps/ctrlProp257.xml"/><Relationship Id="rId1" Type="http://schemas.openxmlformats.org/officeDocument/2006/relationships/printerSettings" Target="../printerSettings/printerSettings3.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 Id="rId57" Type="http://schemas.openxmlformats.org/officeDocument/2006/relationships/ctrlProp" Target="../ctrlProps/ctrlProp226.xml"/><Relationship Id="rId10" Type="http://schemas.openxmlformats.org/officeDocument/2006/relationships/ctrlProp" Target="../ctrlProps/ctrlProp179.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 Id="rId60" Type="http://schemas.openxmlformats.org/officeDocument/2006/relationships/ctrlProp" Target="../ctrlProps/ctrlProp229.xml"/><Relationship Id="rId65" Type="http://schemas.openxmlformats.org/officeDocument/2006/relationships/ctrlProp" Target="../ctrlProps/ctrlProp234.xml"/><Relationship Id="rId73" Type="http://schemas.openxmlformats.org/officeDocument/2006/relationships/ctrlProp" Target="../ctrlProps/ctrlProp242.xml"/><Relationship Id="rId78" Type="http://schemas.openxmlformats.org/officeDocument/2006/relationships/ctrlProp" Target="../ctrlProps/ctrlProp247.xml"/><Relationship Id="rId81" Type="http://schemas.openxmlformats.org/officeDocument/2006/relationships/ctrlProp" Target="../ctrlProps/ctrlProp250.xml"/><Relationship Id="rId86" Type="http://schemas.openxmlformats.org/officeDocument/2006/relationships/ctrlProp" Target="../ctrlProps/ctrlProp255.xml"/><Relationship Id="rId4" Type="http://schemas.openxmlformats.org/officeDocument/2006/relationships/ctrlProp" Target="../ctrlProps/ctrlProp173.xml"/><Relationship Id="rId9" Type="http://schemas.openxmlformats.org/officeDocument/2006/relationships/ctrlProp" Target="../ctrlProps/ctrlProp178.xml"/><Relationship Id="rId13" Type="http://schemas.openxmlformats.org/officeDocument/2006/relationships/ctrlProp" Target="../ctrlProps/ctrlProp182.xml"/><Relationship Id="rId18" Type="http://schemas.openxmlformats.org/officeDocument/2006/relationships/ctrlProp" Target="../ctrlProps/ctrlProp187.xml"/><Relationship Id="rId39" Type="http://schemas.openxmlformats.org/officeDocument/2006/relationships/ctrlProp" Target="../ctrlProps/ctrlProp208.xml"/><Relationship Id="rId34" Type="http://schemas.openxmlformats.org/officeDocument/2006/relationships/ctrlProp" Target="../ctrlProps/ctrlProp203.xml"/><Relationship Id="rId50" Type="http://schemas.openxmlformats.org/officeDocument/2006/relationships/ctrlProp" Target="../ctrlProps/ctrlProp219.xml"/><Relationship Id="rId55" Type="http://schemas.openxmlformats.org/officeDocument/2006/relationships/ctrlProp" Target="../ctrlProps/ctrlProp224.xml"/><Relationship Id="rId76" Type="http://schemas.openxmlformats.org/officeDocument/2006/relationships/ctrlProp" Target="../ctrlProps/ctrlProp245.xml"/><Relationship Id="rId7" Type="http://schemas.openxmlformats.org/officeDocument/2006/relationships/ctrlProp" Target="../ctrlProps/ctrlProp176.xml"/><Relationship Id="rId71" Type="http://schemas.openxmlformats.org/officeDocument/2006/relationships/ctrlProp" Target="../ctrlProps/ctrlProp240.xml"/><Relationship Id="rId2" Type="http://schemas.openxmlformats.org/officeDocument/2006/relationships/drawing" Target="../drawings/drawing3.xml"/><Relationship Id="rId29" Type="http://schemas.openxmlformats.org/officeDocument/2006/relationships/ctrlProp" Target="../ctrlProps/ctrlProp198.xml"/><Relationship Id="rId24" Type="http://schemas.openxmlformats.org/officeDocument/2006/relationships/ctrlProp" Target="../ctrlProps/ctrlProp193.xml"/><Relationship Id="rId40" Type="http://schemas.openxmlformats.org/officeDocument/2006/relationships/ctrlProp" Target="../ctrlProps/ctrlProp209.xml"/><Relationship Id="rId45" Type="http://schemas.openxmlformats.org/officeDocument/2006/relationships/ctrlProp" Target="../ctrlProps/ctrlProp214.xml"/><Relationship Id="rId66" Type="http://schemas.openxmlformats.org/officeDocument/2006/relationships/ctrlProp" Target="../ctrlProps/ctrlProp235.xml"/><Relationship Id="rId87" Type="http://schemas.openxmlformats.org/officeDocument/2006/relationships/ctrlProp" Target="../ctrlProps/ctrlProp256.xml"/><Relationship Id="rId61" Type="http://schemas.openxmlformats.org/officeDocument/2006/relationships/ctrlProp" Target="../ctrlProps/ctrlProp230.xml"/><Relationship Id="rId82" Type="http://schemas.openxmlformats.org/officeDocument/2006/relationships/ctrlProp" Target="../ctrlProps/ctrlProp251.xml"/><Relationship Id="rId19" Type="http://schemas.openxmlformats.org/officeDocument/2006/relationships/ctrlProp" Target="../ctrlProps/ctrlProp18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1.xml"/><Relationship Id="rId21" Type="http://schemas.openxmlformats.org/officeDocument/2006/relationships/ctrlProp" Target="../ctrlProps/ctrlProp276.xml"/><Relationship Id="rId42" Type="http://schemas.openxmlformats.org/officeDocument/2006/relationships/ctrlProp" Target="../ctrlProps/ctrlProp297.xml"/><Relationship Id="rId47" Type="http://schemas.openxmlformats.org/officeDocument/2006/relationships/ctrlProp" Target="../ctrlProps/ctrlProp302.xml"/><Relationship Id="rId63" Type="http://schemas.openxmlformats.org/officeDocument/2006/relationships/ctrlProp" Target="../ctrlProps/ctrlProp318.xml"/><Relationship Id="rId68" Type="http://schemas.openxmlformats.org/officeDocument/2006/relationships/ctrlProp" Target="../ctrlProps/ctrlProp323.xml"/><Relationship Id="rId84" Type="http://schemas.openxmlformats.org/officeDocument/2006/relationships/ctrlProp" Target="../ctrlProps/ctrlProp339.xml"/><Relationship Id="rId89" Type="http://schemas.openxmlformats.org/officeDocument/2006/relationships/ctrlProp" Target="../ctrlProps/ctrlProp344.xml"/><Relationship Id="rId16" Type="http://schemas.openxmlformats.org/officeDocument/2006/relationships/ctrlProp" Target="../ctrlProps/ctrlProp271.xml"/><Relationship Id="rId11" Type="http://schemas.openxmlformats.org/officeDocument/2006/relationships/ctrlProp" Target="../ctrlProps/ctrlProp266.xml"/><Relationship Id="rId32" Type="http://schemas.openxmlformats.org/officeDocument/2006/relationships/ctrlProp" Target="../ctrlProps/ctrlProp287.xml"/><Relationship Id="rId37" Type="http://schemas.openxmlformats.org/officeDocument/2006/relationships/ctrlProp" Target="../ctrlProps/ctrlProp292.xml"/><Relationship Id="rId53" Type="http://schemas.openxmlformats.org/officeDocument/2006/relationships/ctrlProp" Target="../ctrlProps/ctrlProp308.xml"/><Relationship Id="rId58" Type="http://schemas.openxmlformats.org/officeDocument/2006/relationships/ctrlProp" Target="../ctrlProps/ctrlProp313.xml"/><Relationship Id="rId74" Type="http://schemas.openxmlformats.org/officeDocument/2006/relationships/ctrlProp" Target="../ctrlProps/ctrlProp329.xml"/><Relationship Id="rId79" Type="http://schemas.openxmlformats.org/officeDocument/2006/relationships/ctrlProp" Target="../ctrlProps/ctrlProp334.xml"/><Relationship Id="rId5" Type="http://schemas.openxmlformats.org/officeDocument/2006/relationships/ctrlProp" Target="../ctrlProps/ctrlProp260.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 Id="rId43" Type="http://schemas.openxmlformats.org/officeDocument/2006/relationships/ctrlProp" Target="../ctrlProps/ctrlProp298.xml"/><Relationship Id="rId48" Type="http://schemas.openxmlformats.org/officeDocument/2006/relationships/ctrlProp" Target="../ctrlProps/ctrlProp303.xml"/><Relationship Id="rId56" Type="http://schemas.openxmlformats.org/officeDocument/2006/relationships/ctrlProp" Target="../ctrlProps/ctrlProp311.xml"/><Relationship Id="rId64" Type="http://schemas.openxmlformats.org/officeDocument/2006/relationships/ctrlProp" Target="../ctrlProps/ctrlProp319.xml"/><Relationship Id="rId69" Type="http://schemas.openxmlformats.org/officeDocument/2006/relationships/ctrlProp" Target="../ctrlProps/ctrlProp324.xml"/><Relationship Id="rId77" Type="http://schemas.openxmlformats.org/officeDocument/2006/relationships/ctrlProp" Target="../ctrlProps/ctrlProp332.xml"/><Relationship Id="rId8" Type="http://schemas.openxmlformats.org/officeDocument/2006/relationships/ctrlProp" Target="../ctrlProps/ctrlProp263.xml"/><Relationship Id="rId51" Type="http://schemas.openxmlformats.org/officeDocument/2006/relationships/ctrlProp" Target="../ctrlProps/ctrlProp306.xml"/><Relationship Id="rId72" Type="http://schemas.openxmlformats.org/officeDocument/2006/relationships/ctrlProp" Target="../ctrlProps/ctrlProp327.xml"/><Relationship Id="rId80" Type="http://schemas.openxmlformats.org/officeDocument/2006/relationships/ctrlProp" Target="../ctrlProps/ctrlProp335.xml"/><Relationship Id="rId85" Type="http://schemas.openxmlformats.org/officeDocument/2006/relationships/ctrlProp" Target="../ctrlProps/ctrlProp340.xml"/><Relationship Id="rId3" Type="http://schemas.openxmlformats.org/officeDocument/2006/relationships/vmlDrawing" Target="../drawings/vmlDrawing4.v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38" Type="http://schemas.openxmlformats.org/officeDocument/2006/relationships/ctrlProp" Target="../ctrlProps/ctrlProp293.xml"/><Relationship Id="rId46" Type="http://schemas.openxmlformats.org/officeDocument/2006/relationships/ctrlProp" Target="../ctrlProps/ctrlProp301.xml"/><Relationship Id="rId59" Type="http://schemas.openxmlformats.org/officeDocument/2006/relationships/ctrlProp" Target="../ctrlProps/ctrlProp314.xml"/><Relationship Id="rId67" Type="http://schemas.openxmlformats.org/officeDocument/2006/relationships/ctrlProp" Target="../ctrlProps/ctrlProp322.xml"/><Relationship Id="rId20" Type="http://schemas.openxmlformats.org/officeDocument/2006/relationships/ctrlProp" Target="../ctrlProps/ctrlProp275.xml"/><Relationship Id="rId41" Type="http://schemas.openxmlformats.org/officeDocument/2006/relationships/ctrlProp" Target="../ctrlProps/ctrlProp296.xml"/><Relationship Id="rId54" Type="http://schemas.openxmlformats.org/officeDocument/2006/relationships/ctrlProp" Target="../ctrlProps/ctrlProp309.xml"/><Relationship Id="rId62" Type="http://schemas.openxmlformats.org/officeDocument/2006/relationships/ctrlProp" Target="../ctrlProps/ctrlProp317.xml"/><Relationship Id="rId70" Type="http://schemas.openxmlformats.org/officeDocument/2006/relationships/ctrlProp" Target="../ctrlProps/ctrlProp325.xml"/><Relationship Id="rId75" Type="http://schemas.openxmlformats.org/officeDocument/2006/relationships/ctrlProp" Target="../ctrlProps/ctrlProp330.xml"/><Relationship Id="rId83" Type="http://schemas.openxmlformats.org/officeDocument/2006/relationships/ctrlProp" Target="../ctrlProps/ctrlProp338.xml"/><Relationship Id="rId88" Type="http://schemas.openxmlformats.org/officeDocument/2006/relationships/ctrlProp" Target="../ctrlProps/ctrlProp343.xml"/><Relationship Id="rId1" Type="http://schemas.openxmlformats.org/officeDocument/2006/relationships/printerSettings" Target="../printerSettings/printerSettings4.bin"/><Relationship Id="rId6" Type="http://schemas.openxmlformats.org/officeDocument/2006/relationships/ctrlProp" Target="../ctrlProps/ctrlProp261.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49" Type="http://schemas.openxmlformats.org/officeDocument/2006/relationships/ctrlProp" Target="../ctrlProps/ctrlProp304.xml"/><Relationship Id="rId57" Type="http://schemas.openxmlformats.org/officeDocument/2006/relationships/ctrlProp" Target="../ctrlProps/ctrlProp312.xml"/><Relationship Id="rId10" Type="http://schemas.openxmlformats.org/officeDocument/2006/relationships/ctrlProp" Target="../ctrlProps/ctrlProp265.xml"/><Relationship Id="rId31" Type="http://schemas.openxmlformats.org/officeDocument/2006/relationships/ctrlProp" Target="../ctrlProps/ctrlProp286.xml"/><Relationship Id="rId44" Type="http://schemas.openxmlformats.org/officeDocument/2006/relationships/ctrlProp" Target="../ctrlProps/ctrlProp299.xml"/><Relationship Id="rId52" Type="http://schemas.openxmlformats.org/officeDocument/2006/relationships/ctrlProp" Target="../ctrlProps/ctrlProp307.xml"/><Relationship Id="rId60" Type="http://schemas.openxmlformats.org/officeDocument/2006/relationships/ctrlProp" Target="../ctrlProps/ctrlProp315.xml"/><Relationship Id="rId65" Type="http://schemas.openxmlformats.org/officeDocument/2006/relationships/ctrlProp" Target="../ctrlProps/ctrlProp320.xml"/><Relationship Id="rId73" Type="http://schemas.openxmlformats.org/officeDocument/2006/relationships/ctrlProp" Target="../ctrlProps/ctrlProp328.xml"/><Relationship Id="rId78" Type="http://schemas.openxmlformats.org/officeDocument/2006/relationships/ctrlProp" Target="../ctrlProps/ctrlProp333.xml"/><Relationship Id="rId81" Type="http://schemas.openxmlformats.org/officeDocument/2006/relationships/ctrlProp" Target="../ctrlProps/ctrlProp336.xml"/><Relationship Id="rId86" Type="http://schemas.openxmlformats.org/officeDocument/2006/relationships/ctrlProp" Target="../ctrlProps/ctrlProp341.xml"/><Relationship Id="rId4" Type="http://schemas.openxmlformats.org/officeDocument/2006/relationships/ctrlProp" Target="../ctrlProps/ctrlProp259.xml"/><Relationship Id="rId9" Type="http://schemas.openxmlformats.org/officeDocument/2006/relationships/ctrlProp" Target="../ctrlProps/ctrlProp264.xml"/><Relationship Id="rId13" Type="http://schemas.openxmlformats.org/officeDocument/2006/relationships/ctrlProp" Target="../ctrlProps/ctrlProp268.xml"/><Relationship Id="rId18" Type="http://schemas.openxmlformats.org/officeDocument/2006/relationships/ctrlProp" Target="../ctrlProps/ctrlProp273.xml"/><Relationship Id="rId39" Type="http://schemas.openxmlformats.org/officeDocument/2006/relationships/ctrlProp" Target="../ctrlProps/ctrlProp294.xml"/><Relationship Id="rId34" Type="http://schemas.openxmlformats.org/officeDocument/2006/relationships/ctrlProp" Target="../ctrlProps/ctrlProp289.xml"/><Relationship Id="rId50" Type="http://schemas.openxmlformats.org/officeDocument/2006/relationships/ctrlProp" Target="../ctrlProps/ctrlProp305.xml"/><Relationship Id="rId55" Type="http://schemas.openxmlformats.org/officeDocument/2006/relationships/ctrlProp" Target="../ctrlProps/ctrlProp310.xml"/><Relationship Id="rId76" Type="http://schemas.openxmlformats.org/officeDocument/2006/relationships/ctrlProp" Target="../ctrlProps/ctrlProp331.xml"/><Relationship Id="rId7" Type="http://schemas.openxmlformats.org/officeDocument/2006/relationships/ctrlProp" Target="../ctrlProps/ctrlProp262.xml"/><Relationship Id="rId71" Type="http://schemas.openxmlformats.org/officeDocument/2006/relationships/ctrlProp" Target="../ctrlProps/ctrlProp326.xml"/><Relationship Id="rId2" Type="http://schemas.openxmlformats.org/officeDocument/2006/relationships/drawing" Target="../drawings/drawing4.xml"/><Relationship Id="rId29" Type="http://schemas.openxmlformats.org/officeDocument/2006/relationships/ctrlProp" Target="../ctrlProps/ctrlProp284.xml"/><Relationship Id="rId24" Type="http://schemas.openxmlformats.org/officeDocument/2006/relationships/ctrlProp" Target="../ctrlProps/ctrlProp279.xml"/><Relationship Id="rId40" Type="http://schemas.openxmlformats.org/officeDocument/2006/relationships/ctrlProp" Target="../ctrlProps/ctrlProp295.xml"/><Relationship Id="rId45" Type="http://schemas.openxmlformats.org/officeDocument/2006/relationships/ctrlProp" Target="../ctrlProps/ctrlProp300.xml"/><Relationship Id="rId66" Type="http://schemas.openxmlformats.org/officeDocument/2006/relationships/ctrlProp" Target="../ctrlProps/ctrlProp321.xml"/><Relationship Id="rId87" Type="http://schemas.openxmlformats.org/officeDocument/2006/relationships/ctrlProp" Target="../ctrlProps/ctrlProp342.xml"/><Relationship Id="rId61" Type="http://schemas.openxmlformats.org/officeDocument/2006/relationships/ctrlProp" Target="../ctrlProps/ctrlProp316.xml"/><Relationship Id="rId82" Type="http://schemas.openxmlformats.org/officeDocument/2006/relationships/ctrlProp" Target="../ctrlProps/ctrlProp337.xml"/><Relationship Id="rId19" Type="http://schemas.openxmlformats.org/officeDocument/2006/relationships/ctrlProp" Target="../ctrlProps/ctrlProp27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j-lpgas.gr.jp/nenten/co2.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CG127"/>
  <sheetViews>
    <sheetView showGridLines="0" tabSelected="1" zoomScale="80" zoomScaleNormal="80" zoomScaleSheetLayoutView="40" workbookViewId="0">
      <pane ySplit="1" topLeftCell="A2" activePane="bottomLeft" state="frozen"/>
      <selection activeCell="F29" sqref="F29:G29"/>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30.6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22" t="str">
        <f>基本設定シート!B11&amp;"年度提出用"</f>
        <v>2026年度提出用</v>
      </c>
      <c r="B1" s="22"/>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7"/>
      <c r="AE1" s="17"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
        <v>4139</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0"/>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9" t="s">
        <v>1</v>
      </c>
      <c r="D4" s="459"/>
      <c r="E4" s="459"/>
      <c r="F4" s="14">
        <f>基本設定シート!B11</f>
        <v>2026</v>
      </c>
      <c r="G4" s="14" t="s">
        <v>31</v>
      </c>
      <c r="H4" s="4"/>
      <c r="I4" s="14" t="s">
        <v>32</v>
      </c>
      <c r="J4" s="4"/>
      <c r="K4" s="14" t="s">
        <v>33</v>
      </c>
      <c r="L4" s="13"/>
      <c r="M4" s="13"/>
      <c r="N4" s="13"/>
      <c r="O4" s="15"/>
      <c r="P4" s="13"/>
      <c r="Q4" s="13"/>
      <c r="R4" s="13"/>
      <c r="S4" s="15"/>
      <c r="T4" s="13"/>
      <c r="U4" s="13"/>
      <c r="V4" s="13"/>
      <c r="W4" s="13"/>
      <c r="X4" s="15"/>
      <c r="Y4" s="13"/>
      <c r="Z4" s="13"/>
      <c r="AA4" s="13"/>
      <c r="AB4" s="15"/>
      <c r="AC4" s="13"/>
      <c r="AD4" s="13"/>
      <c r="AE4" s="13"/>
      <c r="AF4" s="20"/>
      <c r="AG4" s="20"/>
      <c r="AH4" s="20"/>
      <c r="AI4" s="24" t="s">
        <v>4131</v>
      </c>
      <c r="AJ4" s="463">
        <f ca="1">TODAY()</f>
        <v>46111</v>
      </c>
      <c r="AK4" s="464"/>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基本設定シート!B11</f>
        <v>2026</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384" t="s">
        <v>48</v>
      </c>
      <c r="C6" s="384"/>
      <c r="D6" s="384"/>
      <c r="E6" s="384"/>
      <c r="F6" s="16"/>
      <c r="G6" s="16"/>
      <c r="H6" s="13"/>
      <c r="I6" s="13"/>
      <c r="J6" s="13"/>
      <c r="K6" s="13"/>
      <c r="L6" s="13"/>
      <c r="M6" s="13"/>
      <c r="N6" s="384" t="s">
        <v>46</v>
      </c>
      <c r="O6" s="384"/>
      <c r="P6" s="16"/>
      <c r="Q6" s="16"/>
      <c r="R6" s="13"/>
      <c r="S6" s="13"/>
      <c r="T6" s="13"/>
      <c r="U6" s="13"/>
      <c r="V6" s="13"/>
      <c r="W6" s="384" t="s">
        <v>47</v>
      </c>
      <c r="X6" s="384"/>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385" t="s">
        <v>4120</v>
      </c>
      <c r="C8" s="385"/>
      <c r="D8" s="385"/>
      <c r="E8" s="385"/>
      <c r="F8" s="428"/>
      <c r="G8" s="429"/>
      <c r="H8" s="429"/>
      <c r="I8" s="429"/>
      <c r="J8" s="429"/>
      <c r="K8" s="429"/>
      <c r="L8" s="430"/>
      <c r="M8" s="13"/>
      <c r="N8" s="436" t="s">
        <v>4123</v>
      </c>
      <c r="O8" s="436"/>
      <c r="P8" s="429"/>
      <c r="Q8" s="429"/>
      <c r="R8" s="429"/>
      <c r="S8" s="429"/>
      <c r="T8" s="429"/>
      <c r="U8" s="430"/>
      <c r="V8" s="13"/>
      <c r="W8" s="439" t="s">
        <v>4125</v>
      </c>
      <c r="X8" s="394"/>
      <c r="Y8" s="429"/>
      <c r="Z8" s="429"/>
      <c r="AA8" s="429"/>
      <c r="AB8" s="429"/>
      <c r="AC8" s="429"/>
      <c r="AD8" s="430"/>
      <c r="AE8" s="29"/>
      <c r="AF8" s="30"/>
      <c r="AG8" s="20"/>
      <c r="AH8" s="20"/>
      <c r="AI8" s="460"/>
      <c r="AJ8" s="460"/>
      <c r="AK8" s="452"/>
      <c r="AL8" s="452"/>
      <c r="AM8" s="452"/>
      <c r="AN8" s="452"/>
      <c r="AO8" s="452"/>
      <c r="AP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386" t="s">
        <v>4121</v>
      </c>
      <c r="C9" s="387"/>
      <c r="D9" s="387"/>
      <c r="E9" s="388"/>
      <c r="F9" s="466" t="s">
        <v>4228</v>
      </c>
      <c r="G9" s="467"/>
      <c r="H9" s="9"/>
      <c r="I9" s="34" t="s">
        <v>27</v>
      </c>
      <c r="J9" s="10"/>
      <c r="K9" s="1"/>
      <c r="L9" s="1"/>
      <c r="M9" s="13"/>
      <c r="N9" s="385" t="s">
        <v>4124</v>
      </c>
      <c r="O9" s="385"/>
      <c r="P9" s="456" t="s">
        <v>4230</v>
      </c>
      <c r="Q9" s="457"/>
      <c r="R9" s="457" t="s">
        <v>4231</v>
      </c>
      <c r="S9" s="457"/>
      <c r="T9" s="457"/>
      <c r="U9" s="458"/>
      <c r="V9" s="13"/>
      <c r="W9" s="386" t="s">
        <v>4126</v>
      </c>
      <c r="X9" s="388"/>
      <c r="Y9" s="456" t="s">
        <v>4230</v>
      </c>
      <c r="Z9" s="457"/>
      <c r="AA9" s="457" t="s">
        <v>4229</v>
      </c>
      <c r="AB9" s="457"/>
      <c r="AC9" s="457" t="s">
        <v>4226</v>
      </c>
      <c r="AD9" s="458"/>
      <c r="AE9" s="13"/>
      <c r="AF9" s="20"/>
      <c r="AG9" s="7"/>
      <c r="AH9" s="7"/>
      <c r="AI9" s="460"/>
      <c r="AJ9" s="460"/>
      <c r="AK9" s="452"/>
      <c r="AL9" s="452"/>
      <c r="AM9" s="452"/>
      <c r="AN9" s="452"/>
      <c r="AO9" s="452"/>
      <c r="AP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46"/>
      <c r="C10" s="465"/>
      <c r="D10" s="465"/>
      <c r="E10" s="447"/>
      <c r="F10" s="429"/>
      <c r="G10" s="429"/>
      <c r="H10" s="429"/>
      <c r="I10" s="429"/>
      <c r="J10" s="429"/>
      <c r="K10" s="429"/>
      <c r="L10" s="430"/>
      <c r="M10" s="13"/>
      <c r="N10" s="431"/>
      <c r="O10" s="431"/>
      <c r="P10" s="29" t="s">
        <v>34</v>
      </c>
      <c r="Q10" s="99" t="str">
        <f>IF(AG9=1,H9,"")</f>
        <v/>
      </c>
      <c r="R10" s="98" t="s">
        <v>27</v>
      </c>
      <c r="S10" s="100" t="str">
        <f>IF(AG9=1,J9,"")</f>
        <v/>
      </c>
      <c r="T10" s="13"/>
      <c r="U10" s="13"/>
      <c r="V10" s="13"/>
      <c r="W10" s="461"/>
      <c r="X10" s="462"/>
      <c r="Y10" s="29" t="s">
        <v>34</v>
      </c>
      <c r="Z10" s="99" t="str">
        <f>IF(AH9=1,H9,IF(AH9=2,Q10,""))</f>
        <v/>
      </c>
      <c r="AA10" s="98" t="s">
        <v>27</v>
      </c>
      <c r="AB10" s="100" t="str">
        <f>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389" t="s">
        <v>4122</v>
      </c>
      <c r="C11" s="389"/>
      <c r="D11" s="389"/>
      <c r="E11" s="389"/>
      <c r="F11" s="428"/>
      <c r="G11" s="429"/>
      <c r="H11" s="429"/>
      <c r="I11" s="429"/>
      <c r="J11" s="429"/>
      <c r="K11" s="429"/>
      <c r="L11" s="430"/>
      <c r="M11" s="13"/>
      <c r="N11" s="446"/>
      <c r="O11" s="447"/>
      <c r="P11" s="437" t="str">
        <f>IF(AG9=1,F10,"")</f>
        <v/>
      </c>
      <c r="Q11" s="437"/>
      <c r="R11" s="437"/>
      <c r="S11" s="437"/>
      <c r="T11" s="437"/>
      <c r="U11" s="438"/>
      <c r="V11" s="13"/>
      <c r="W11" s="446"/>
      <c r="X11" s="447"/>
      <c r="Y11" s="437" t="str">
        <f>IF(AH9=1,F10,IF(AH9=2,P11,""))</f>
        <v/>
      </c>
      <c r="Z11" s="437"/>
      <c r="AA11" s="437"/>
      <c r="AB11" s="437"/>
      <c r="AC11" s="437"/>
      <c r="AD11" s="438"/>
      <c r="AE11" s="29"/>
      <c r="AF11" s="30"/>
      <c r="AG11" s="20"/>
    </row>
    <row r="12" spans="1:85" ht="27.75" customHeight="1">
      <c r="A12" s="13"/>
      <c r="B12" s="13"/>
      <c r="C12" s="13"/>
      <c r="D12" s="13"/>
      <c r="E12" s="15"/>
      <c r="F12" s="13"/>
      <c r="G12" s="13"/>
      <c r="H12" s="13"/>
      <c r="I12" s="13"/>
      <c r="J12" s="13"/>
      <c r="K12" s="13"/>
      <c r="L12" s="13"/>
      <c r="M12" s="13"/>
      <c r="N12" s="436" t="s">
        <v>4235</v>
      </c>
      <c r="O12" s="436"/>
      <c r="P12" s="442"/>
      <c r="Q12" s="442"/>
      <c r="R12" s="442"/>
      <c r="S12" s="442"/>
      <c r="T12" s="442"/>
      <c r="U12" s="442"/>
      <c r="V12" s="13"/>
      <c r="W12" s="439" t="s">
        <v>4127</v>
      </c>
      <c r="X12" s="394"/>
      <c r="Y12" s="429"/>
      <c r="Z12" s="429"/>
      <c r="AA12" s="429"/>
      <c r="AB12" s="429"/>
      <c r="AC12" s="429"/>
      <c r="AD12" s="430"/>
      <c r="AE12" s="31"/>
      <c r="AF12" s="32"/>
      <c r="AG12" s="33"/>
      <c r="AP12" s="20"/>
    </row>
    <row r="13" spans="1:85" ht="27.75" customHeight="1">
      <c r="A13" s="13"/>
      <c r="B13" s="13"/>
      <c r="C13" s="13"/>
      <c r="D13" s="13"/>
      <c r="E13" s="13"/>
      <c r="F13" s="13"/>
      <c r="G13" s="13"/>
      <c r="H13" s="13"/>
      <c r="I13" s="13"/>
      <c r="J13" s="13"/>
      <c r="K13" s="13"/>
      <c r="L13" s="13"/>
      <c r="M13" s="13"/>
      <c r="N13" s="13"/>
      <c r="O13" s="13"/>
      <c r="P13" s="13"/>
      <c r="Q13" s="13"/>
      <c r="R13" s="13"/>
      <c r="S13" s="13"/>
      <c r="T13" s="13"/>
      <c r="U13" s="13"/>
      <c r="V13" s="13"/>
      <c r="W13" s="439" t="s">
        <v>4128</v>
      </c>
      <c r="X13" s="394"/>
      <c r="Y13" s="440"/>
      <c r="Z13" s="440"/>
      <c r="AA13" s="440"/>
      <c r="AB13" s="440"/>
      <c r="AC13" s="440"/>
      <c r="AD13" s="441"/>
      <c r="AE13" s="29"/>
      <c r="AF13" s="30"/>
      <c r="AG13" s="20"/>
      <c r="AP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39" t="s">
        <v>4129</v>
      </c>
      <c r="X14" s="394"/>
      <c r="Y14" s="453"/>
      <c r="Z14" s="454"/>
      <c r="AA14" s="454"/>
      <c r="AB14" s="454"/>
      <c r="AC14" s="454"/>
      <c r="AD14" s="455"/>
      <c r="AE14" s="13"/>
      <c r="AF14" s="20"/>
      <c r="AG14" s="20"/>
      <c r="AP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96"/>
      <c r="Z15" s="97"/>
      <c r="AA15" s="392"/>
      <c r="AB15" s="392"/>
      <c r="AC15" s="97"/>
      <c r="AD15" s="13"/>
      <c r="AE15" s="13"/>
      <c r="AF15" s="20"/>
      <c r="AG15" s="20"/>
      <c r="AH15" s="20"/>
      <c r="AI15" s="20"/>
      <c r="AJ15" s="20"/>
      <c r="AK15" s="20"/>
      <c r="AL15" s="20"/>
      <c r="AM15" s="20"/>
      <c r="AN15" s="20"/>
      <c r="AO15" s="20"/>
      <c r="AP15" s="20"/>
    </row>
    <row r="16" spans="1:85" s="3" customFormat="1" ht="35.450000000000003" customHeight="1">
      <c r="A16" s="23" t="str">
        <f>"◆エネルギー使用実績（"&amp;基本設定シート!B11-1&amp;"年度実績）"</f>
        <v>◆エネルギー使用実績（2025年度実績）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c r="AP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P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384" t="s">
        <v>2</v>
      </c>
      <c r="C18" s="384"/>
      <c r="D18" s="384"/>
      <c r="E18" s="384"/>
      <c r="F18" s="384"/>
      <c r="G18" s="384"/>
      <c r="H18" s="13"/>
      <c r="I18" s="13"/>
      <c r="J18" s="13"/>
      <c r="K18" s="13"/>
      <c r="L18" s="13"/>
      <c r="M18" s="13"/>
      <c r="N18" s="13"/>
      <c r="O18" s="13"/>
      <c r="P18" s="13"/>
      <c r="Q18" s="13"/>
      <c r="R18" s="13"/>
      <c r="S18" s="13"/>
      <c r="T18" s="13"/>
      <c r="U18" s="13"/>
      <c r="V18" s="13"/>
      <c r="W18" s="13"/>
      <c r="X18" s="13"/>
      <c r="Y18" s="13"/>
      <c r="Z18" s="13"/>
      <c r="AA18" s="478" t="str">
        <f>HYPERLINK("#CG17","【任意】使用料金表はこちら→")</f>
        <v>【任意】使用料金表はこちら→</v>
      </c>
      <c r="AB18" s="479"/>
      <c r="AC18" s="479"/>
      <c r="AD18" s="479"/>
      <c r="AE18" s="13"/>
      <c r="AF18" s="20"/>
      <c r="AM18" s="20"/>
      <c r="AN18" s="20"/>
      <c r="AO18" s="20"/>
      <c r="AP18" s="20"/>
      <c r="AX18" s="20"/>
      <c r="AY18" s="20"/>
      <c r="AZ18" s="20"/>
      <c r="BA18" s="20"/>
      <c r="BB18" s="20"/>
      <c r="BC18" s="20"/>
      <c r="BD18" s="20"/>
      <c r="BE18" s="20"/>
      <c r="BF18" s="20"/>
      <c r="BG18" s="20"/>
      <c r="BH18" s="20"/>
      <c r="BI18" s="20"/>
      <c r="BJ18" s="20"/>
      <c r="BK18" s="20"/>
      <c r="BL18" s="20"/>
      <c r="BM18" s="20"/>
      <c r="BN18" s="20"/>
      <c r="BO18" s="13"/>
      <c r="BP18" s="425" t="s">
        <v>4112</v>
      </c>
      <c r="BQ18" s="426"/>
      <c r="BR18" s="427"/>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P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02" t="s">
        <v>8</v>
      </c>
      <c r="C20" s="403"/>
      <c r="D20" s="403"/>
      <c r="E20" s="403"/>
      <c r="F20" s="403"/>
      <c r="G20" s="403"/>
      <c r="H20" s="403"/>
      <c r="I20" s="404"/>
      <c r="J20" s="443" t="s">
        <v>30</v>
      </c>
      <c r="K20" s="444"/>
      <c r="L20" s="444"/>
      <c r="M20" s="444"/>
      <c r="N20" s="444"/>
      <c r="O20" s="444"/>
      <c r="P20" s="444"/>
      <c r="Q20" s="444"/>
      <c r="R20" s="444"/>
      <c r="S20" s="444"/>
      <c r="T20" s="444"/>
      <c r="U20" s="444"/>
      <c r="V20" s="444"/>
      <c r="W20" s="445"/>
      <c r="X20" s="451" t="s">
        <v>4233</v>
      </c>
      <c r="Y20" s="404"/>
      <c r="Z20" s="13"/>
      <c r="AA20" s="13"/>
      <c r="AB20" s="13"/>
      <c r="AC20" s="13"/>
      <c r="AD20" s="13"/>
      <c r="AE20" s="29"/>
      <c r="AF20" s="30"/>
      <c r="AG20" s="20"/>
      <c r="AH20" s="20"/>
      <c r="AI20" s="20"/>
      <c r="AJ20" s="20"/>
      <c r="AK20" s="20"/>
      <c r="AL20" s="20"/>
      <c r="AM20" s="20"/>
      <c r="AN20" s="20"/>
      <c r="AO20" s="20"/>
      <c r="AP20" s="20"/>
      <c r="AU20" s="20"/>
      <c r="AV20" s="20"/>
      <c r="AW20" s="20"/>
      <c r="AX20" s="20"/>
      <c r="AY20" s="20"/>
      <c r="AZ20" s="20"/>
      <c r="BA20" s="20"/>
      <c r="BB20" s="20"/>
      <c r="BC20" s="20"/>
      <c r="BD20" s="20"/>
      <c r="BE20" s="20"/>
      <c r="BF20" s="20"/>
      <c r="BG20" s="20"/>
      <c r="BH20" s="20"/>
      <c r="BI20" s="20"/>
      <c r="BJ20" s="20"/>
      <c r="BK20" s="20"/>
      <c r="BL20" s="20"/>
      <c r="BM20" s="20"/>
      <c r="BN20" s="20"/>
      <c r="BO20" s="13"/>
      <c r="BP20" s="402"/>
      <c r="BQ20" s="403"/>
      <c r="BR20" s="404"/>
      <c r="BS20" s="450" t="s">
        <v>4112</v>
      </c>
      <c r="BT20" s="450"/>
      <c r="BU20" s="450"/>
      <c r="BV20" s="450"/>
      <c r="BW20" s="450"/>
      <c r="BX20" s="450"/>
      <c r="BY20" s="450"/>
      <c r="BZ20" s="450"/>
      <c r="CA20" s="450"/>
      <c r="CB20" s="450"/>
      <c r="CC20" s="450"/>
      <c r="CD20" s="450"/>
      <c r="CE20" s="450"/>
      <c r="CF20" s="450"/>
      <c r="CG20" s="13"/>
    </row>
    <row r="21" spans="1:85" ht="30" customHeight="1">
      <c r="A21" s="13"/>
      <c r="B21" s="405"/>
      <c r="C21" s="406"/>
      <c r="D21" s="406"/>
      <c r="E21" s="406"/>
      <c r="F21" s="406"/>
      <c r="G21" s="406"/>
      <c r="H21" s="406"/>
      <c r="I21" s="407"/>
      <c r="J21" s="450" t="s">
        <v>9</v>
      </c>
      <c r="K21" s="450" t="str">
        <f>基本設定シート!$B$11-1&amp;"年"</f>
        <v>2025年</v>
      </c>
      <c r="L21" s="450"/>
      <c r="M21" s="450"/>
      <c r="N21" s="450"/>
      <c r="O21" s="450"/>
      <c r="P21" s="450"/>
      <c r="Q21" s="450"/>
      <c r="R21" s="450"/>
      <c r="S21" s="450"/>
      <c r="T21" s="450" t="str">
        <f>基本設定シート!$B$11&amp;"年"</f>
        <v>2026年</v>
      </c>
      <c r="U21" s="450"/>
      <c r="V21" s="450"/>
      <c r="W21" s="448" t="s">
        <v>23</v>
      </c>
      <c r="X21" s="405"/>
      <c r="Y21" s="407"/>
      <c r="Z21" s="13"/>
      <c r="AA21" s="13"/>
      <c r="AB21" s="13"/>
      <c r="AC21" s="13"/>
      <c r="AD21" s="13"/>
      <c r="AE21" s="29"/>
      <c r="AF21" s="30"/>
      <c r="AG21" s="20"/>
      <c r="AH21" s="20"/>
      <c r="AI21" s="20"/>
      <c r="AJ21" s="20"/>
      <c r="AK21" s="20"/>
      <c r="AL21" s="20"/>
      <c r="AM21" s="20"/>
      <c r="AN21" s="20"/>
      <c r="AO21" s="20"/>
      <c r="AP21" s="20"/>
      <c r="AQ21" s="20"/>
      <c r="AR21" s="20"/>
      <c r="AS21" s="20"/>
      <c r="AU21" s="20"/>
      <c r="AV21" s="20"/>
      <c r="AW21" s="20"/>
      <c r="AX21" s="20"/>
      <c r="AY21" s="20"/>
      <c r="AZ21" s="20"/>
      <c r="BA21" s="20"/>
      <c r="BB21" s="20"/>
      <c r="BC21" s="20"/>
      <c r="BD21" s="20"/>
      <c r="BE21" s="20"/>
      <c r="BF21" s="20"/>
      <c r="BG21" s="20"/>
      <c r="BH21" s="20"/>
      <c r="BI21" s="20"/>
      <c r="BJ21" s="20"/>
      <c r="BK21" s="20"/>
      <c r="BL21" s="20"/>
      <c r="BM21" s="20"/>
      <c r="BN21" s="20"/>
      <c r="BO21" s="13"/>
      <c r="BP21" s="405"/>
      <c r="BQ21" s="406"/>
      <c r="BR21" s="407"/>
      <c r="BS21" s="448" t="s">
        <v>9</v>
      </c>
      <c r="BT21" s="450" t="str">
        <f>基本設定シート!$B$11-1&amp;"年"</f>
        <v>2025年</v>
      </c>
      <c r="BU21" s="450"/>
      <c r="BV21" s="450"/>
      <c r="BW21" s="450"/>
      <c r="BX21" s="450"/>
      <c r="BY21" s="450"/>
      <c r="BZ21" s="450"/>
      <c r="CA21" s="450"/>
      <c r="CB21" s="450"/>
      <c r="CC21" s="450" t="str">
        <f>基本設定シート!$B$11&amp;"年"</f>
        <v>2026年</v>
      </c>
      <c r="CD21" s="450"/>
      <c r="CE21" s="450"/>
      <c r="CF21" s="448" t="s">
        <v>23</v>
      </c>
      <c r="CG21" s="13"/>
    </row>
    <row r="22" spans="1:85" ht="30" customHeight="1">
      <c r="A22" s="13"/>
      <c r="B22" s="408"/>
      <c r="C22" s="409"/>
      <c r="D22" s="409"/>
      <c r="E22" s="409"/>
      <c r="F22" s="409"/>
      <c r="G22" s="409"/>
      <c r="H22" s="409"/>
      <c r="I22" s="410"/>
      <c r="J22" s="450"/>
      <c r="K22" s="91" t="s">
        <v>10</v>
      </c>
      <c r="L22" s="91" t="s">
        <v>11</v>
      </c>
      <c r="M22" s="91" t="s">
        <v>12</v>
      </c>
      <c r="N22" s="91" t="s">
        <v>13</v>
      </c>
      <c r="O22" s="91" t="s">
        <v>14</v>
      </c>
      <c r="P22" s="91" t="s">
        <v>15</v>
      </c>
      <c r="Q22" s="91" t="s">
        <v>16</v>
      </c>
      <c r="R22" s="91" t="s">
        <v>17</v>
      </c>
      <c r="S22" s="91" t="s">
        <v>18</v>
      </c>
      <c r="T22" s="91" t="s">
        <v>19</v>
      </c>
      <c r="U22" s="91" t="s">
        <v>20</v>
      </c>
      <c r="V22" s="91" t="s">
        <v>21</v>
      </c>
      <c r="W22" s="449"/>
      <c r="X22" s="408"/>
      <c r="Y22" s="410"/>
      <c r="Z22" s="13"/>
      <c r="AA22" s="15"/>
      <c r="AB22" s="13"/>
      <c r="AC22" s="13"/>
      <c r="AD22" s="13"/>
      <c r="AE22" s="29"/>
      <c r="AF22" s="30"/>
      <c r="AG22" s="20"/>
      <c r="AH22" s="20"/>
      <c r="AI22" s="398" t="s">
        <v>4079</v>
      </c>
      <c r="AJ22" s="398"/>
      <c r="AK22" s="383" t="s">
        <v>4082</v>
      </c>
      <c r="AL22" s="383"/>
      <c r="AM22" s="383" t="s">
        <v>4080</v>
      </c>
      <c r="AN22" s="383"/>
      <c r="AO22" s="480" t="s">
        <v>3</v>
      </c>
      <c r="AP22" s="480"/>
      <c r="AQ22" s="480"/>
      <c r="AR22" s="20"/>
      <c r="AS22" s="20"/>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383" t="s">
        <v>4110</v>
      </c>
      <c r="BJ22" s="383"/>
      <c r="BK22" s="383" t="s">
        <v>28</v>
      </c>
      <c r="BL22" s="383"/>
      <c r="BM22" s="20"/>
      <c r="BN22" s="20"/>
      <c r="BO22" s="13"/>
      <c r="BP22" s="408"/>
      <c r="BQ22" s="409"/>
      <c r="BR22" s="410"/>
      <c r="BS22" s="449"/>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49"/>
      <c r="CG22" s="13"/>
    </row>
    <row r="23" spans="1:85" ht="30" customHeight="1">
      <c r="A23" s="13"/>
      <c r="B23" s="501" t="s">
        <v>4275</v>
      </c>
      <c r="C23" s="502"/>
      <c r="D23" s="103"/>
      <c r="E23" s="394" t="str">
        <f>'係数（車両用）'!O6</f>
        <v>ガソリン</v>
      </c>
      <c r="F23" s="436"/>
      <c r="G23" s="436"/>
      <c r="H23" s="436"/>
      <c r="I23" s="436"/>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3" t="str">
        <f>"t-CO2/"&amp;AJ23</f>
        <v>t-CO2/kl</v>
      </c>
      <c r="AQ23" s="424"/>
      <c r="AR23" s="20"/>
      <c r="AS23" s="20"/>
      <c r="AT23" s="20"/>
      <c r="AU23" s="48" t="str">
        <f>"【車両】"&amp;$E$23</f>
        <v>【車両】ガソリン</v>
      </c>
      <c r="AV23" s="41" t="str">
        <f t="shared" ref="AV23:BH28"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491"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03"/>
      <c r="C24" s="504"/>
      <c r="D24" s="103"/>
      <c r="E24" s="394" t="str">
        <f>'係数（車両用）'!O10</f>
        <v>軽油</v>
      </c>
      <c r="F24" s="436"/>
      <c r="G24" s="436"/>
      <c r="H24" s="436"/>
      <c r="I24" s="436"/>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3" t="str">
        <f>"t-CO2/"&amp;AJ24</f>
        <v>t-CO2/kl</v>
      </c>
      <c r="AQ24" s="424"/>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492"/>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03"/>
      <c r="C25" s="504"/>
      <c r="D25" s="103"/>
      <c r="E25" s="394" t="str">
        <f>'係数（車両用）'!O15</f>
        <v>液化石油ガス(LPG)</v>
      </c>
      <c r="F25" s="436"/>
      <c r="G25" s="436"/>
      <c r="H25" s="436"/>
      <c r="I25" s="436"/>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3" t="str">
        <f t="shared" ref="AP25:AP28" si="4">"t-CO2/"&amp;AJ25</f>
        <v>t-CO2/t</v>
      </c>
      <c r="AQ25" s="424"/>
      <c r="AR25" s="20">
        <f>基本設定シート!$D$21</f>
        <v>0.53100000000000003</v>
      </c>
      <c r="AS25" s="20" t="s">
        <v>4265</v>
      </c>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492"/>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03"/>
      <c r="C26" s="504"/>
      <c r="D26" s="103"/>
      <c r="E26" s="393" t="str">
        <f>'係数（車両用）'!O62</f>
        <v>電気（充電）</v>
      </c>
      <c r="F26" s="393"/>
      <c r="G26" s="393"/>
      <c r="H26" s="393"/>
      <c r="I26" s="394"/>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32" t="str">
        <f>"t-CO2/"&amp;AJ26</f>
        <v>t-CO2/千kWh</v>
      </c>
      <c r="AQ26" s="433"/>
      <c r="AR26" s="20"/>
      <c r="AU26" s="48" t="str">
        <f>"【車両】"&amp;$E$26</f>
        <v>【車両】電気（充電）</v>
      </c>
      <c r="AV26" s="41" t="str">
        <f>J26</f>
        <v>kWh</v>
      </c>
      <c r="AW26" s="49">
        <f t="shared" si="0"/>
        <v>0</v>
      </c>
      <c r="AX26" s="49">
        <f t="shared" si="0"/>
        <v>0</v>
      </c>
      <c r="AY26" s="49">
        <f t="shared" si="0"/>
        <v>0</v>
      </c>
      <c r="AZ26" s="49">
        <f t="shared" si="0"/>
        <v>0</v>
      </c>
      <c r="BA26" s="49">
        <f t="shared" si="0"/>
        <v>0</v>
      </c>
      <c r="BB26" s="49">
        <f t="shared" si="0"/>
        <v>0</v>
      </c>
      <c r="BC26" s="49">
        <f t="shared" si="0"/>
        <v>0</v>
      </c>
      <c r="BD26" s="49">
        <f t="shared" si="0"/>
        <v>0</v>
      </c>
      <c r="BE26" s="49">
        <f t="shared" si="0"/>
        <v>0</v>
      </c>
      <c r="BF26" s="49">
        <f t="shared" si="0"/>
        <v>0</v>
      </c>
      <c r="BG26" s="49">
        <f t="shared" si="0"/>
        <v>0</v>
      </c>
      <c r="BH26" s="49">
        <f t="shared" si="0"/>
        <v>0</v>
      </c>
      <c r="BI26" s="50" t="str">
        <f>AM26</f>
        <v/>
      </c>
      <c r="BJ26" s="26" t="s">
        <v>4081</v>
      </c>
      <c r="BK26" s="51" t="str">
        <f t="shared" si="1"/>
        <v/>
      </c>
      <c r="BL26" s="26" t="s">
        <v>29</v>
      </c>
      <c r="BM26" s="20"/>
      <c r="BN26" s="20"/>
      <c r="BO26" s="13"/>
      <c r="BP26" s="492"/>
      <c r="BQ26" s="27"/>
      <c r="BR26" s="52" t="str">
        <f>$E$26</f>
        <v>電気（充電）</v>
      </c>
      <c r="BS26" s="39" t="s">
        <v>4111</v>
      </c>
      <c r="BT26" s="5"/>
      <c r="BU26" s="5"/>
      <c r="BV26" s="5"/>
      <c r="BW26" s="5"/>
      <c r="BX26" s="5"/>
      <c r="BY26" s="5"/>
      <c r="BZ26" s="5"/>
      <c r="CA26" s="5"/>
      <c r="CB26" s="5"/>
      <c r="CC26" s="5"/>
      <c r="CD26" s="5"/>
      <c r="CE26" s="5"/>
      <c r="CF26" s="56" t="str">
        <f t="shared" ref="CF26" si="7">IF(COUNTBLANK(BT26:CE26)=12,"",SUM(BT26:CE26))</f>
        <v/>
      </c>
      <c r="CG26" s="13"/>
    </row>
    <row r="27" spans="1:85" ht="30" customHeight="1">
      <c r="A27" s="13"/>
      <c r="B27" s="503"/>
      <c r="C27" s="504"/>
      <c r="D27" s="103"/>
      <c r="E27" s="394" t="str">
        <f>'係数（車両用）'!O48</f>
        <v>水素</v>
      </c>
      <c r="F27" s="436"/>
      <c r="G27" s="436"/>
      <c r="H27" s="436"/>
      <c r="I27" s="436"/>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5"/>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3" t="str">
        <f t="shared" si="4"/>
        <v>t-CO2/t</v>
      </c>
      <c r="AQ27" s="424"/>
      <c r="AR27" s="20"/>
      <c r="AS27" s="20"/>
      <c r="AT27" s="20"/>
      <c r="AU27" s="48" t="str">
        <f>"【車両】"&amp;$E$27</f>
        <v>【車両】水素</v>
      </c>
      <c r="AV27" s="41" t="str">
        <f t="shared" si="0"/>
        <v>kg</v>
      </c>
      <c r="AW27" s="49">
        <f t="shared" si="0"/>
        <v>0</v>
      </c>
      <c r="AX27" s="49">
        <f t="shared" si="0"/>
        <v>0</v>
      </c>
      <c r="AY27" s="49">
        <f t="shared" si="0"/>
        <v>0</v>
      </c>
      <c r="AZ27" s="49">
        <f t="shared" si="0"/>
        <v>0</v>
      </c>
      <c r="BA27" s="49">
        <f t="shared" si="0"/>
        <v>0</v>
      </c>
      <c r="BB27" s="49">
        <f t="shared" si="0"/>
        <v>0</v>
      </c>
      <c r="BC27" s="49">
        <f t="shared" si="0"/>
        <v>0</v>
      </c>
      <c r="BD27" s="49">
        <f t="shared" si="0"/>
        <v>0</v>
      </c>
      <c r="BE27" s="49">
        <f t="shared" si="0"/>
        <v>0</v>
      </c>
      <c r="BF27" s="49">
        <f t="shared" si="0"/>
        <v>0</v>
      </c>
      <c r="BG27" s="49">
        <f t="shared" si="0"/>
        <v>0</v>
      </c>
      <c r="BH27" s="49">
        <f t="shared" si="0"/>
        <v>0</v>
      </c>
      <c r="BI27" s="50" t="str">
        <f t="shared" si="5"/>
        <v/>
      </c>
      <c r="BJ27" s="26" t="s">
        <v>4081</v>
      </c>
      <c r="BK27" s="51" t="str">
        <f t="shared" si="1"/>
        <v/>
      </c>
      <c r="BL27" s="26" t="s">
        <v>29</v>
      </c>
      <c r="BM27" s="20"/>
      <c r="BN27" s="20"/>
      <c r="BO27" s="13"/>
      <c r="BP27" s="492"/>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03"/>
      <c r="C28" s="504"/>
      <c r="D28" s="113"/>
      <c r="E28" s="434" t="s">
        <v>4078</v>
      </c>
      <c r="F28" s="435"/>
      <c r="G28" s="435"/>
      <c r="H28" s="435"/>
      <c r="I28" s="435"/>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5"/>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3" t="str">
        <f t="shared" si="4"/>
        <v>t-CO2/</v>
      </c>
      <c r="AQ28" s="424"/>
      <c r="AR28" s="20"/>
      <c r="AS28" s="20"/>
      <c r="AT28" s="20"/>
      <c r="AU28" s="48" t="str">
        <f>IF($AM$28="","","【車両】"&amp;$E$28)</f>
        <v/>
      </c>
      <c r="AV28" s="41" t="str">
        <f t="shared" si="0"/>
        <v/>
      </c>
      <c r="AW28" s="49">
        <f t="shared" si="0"/>
        <v>0</v>
      </c>
      <c r="AX28" s="49">
        <f t="shared" si="0"/>
        <v>0</v>
      </c>
      <c r="AY28" s="49">
        <f t="shared" si="0"/>
        <v>0</v>
      </c>
      <c r="AZ28" s="49">
        <f t="shared" si="0"/>
        <v>0</v>
      </c>
      <c r="BA28" s="49">
        <f t="shared" si="0"/>
        <v>0</v>
      </c>
      <c r="BB28" s="49">
        <f t="shared" si="0"/>
        <v>0</v>
      </c>
      <c r="BC28" s="49">
        <f t="shared" si="0"/>
        <v>0</v>
      </c>
      <c r="BD28" s="49">
        <f t="shared" si="0"/>
        <v>0</v>
      </c>
      <c r="BE28" s="49">
        <f t="shared" si="0"/>
        <v>0</v>
      </c>
      <c r="BF28" s="49">
        <f t="shared" si="0"/>
        <v>0</v>
      </c>
      <c r="BG28" s="49">
        <f t="shared" si="0"/>
        <v>0</v>
      </c>
      <c r="BH28" s="49">
        <f t="shared" si="0"/>
        <v>0</v>
      </c>
      <c r="BI28" s="50" t="str">
        <f t="shared" si="5"/>
        <v/>
      </c>
      <c r="BJ28" s="26" t="s">
        <v>4081</v>
      </c>
      <c r="BK28" s="51" t="str">
        <f t="shared" si="1"/>
        <v/>
      </c>
      <c r="BL28" s="26" t="s">
        <v>29</v>
      </c>
      <c r="BM28" s="20"/>
      <c r="BN28" s="20"/>
      <c r="BO28" s="13"/>
      <c r="BP28" s="492"/>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05"/>
      <c r="C29" s="506"/>
      <c r="D29" s="411" t="s">
        <v>23</v>
      </c>
      <c r="E29" s="411"/>
      <c r="F29" s="411"/>
      <c r="G29" s="411"/>
      <c r="H29" s="411"/>
      <c r="I29" s="411"/>
      <c r="J29" s="411"/>
      <c r="K29" s="411"/>
      <c r="L29" s="411"/>
      <c r="M29" s="411"/>
      <c r="N29" s="411"/>
      <c r="O29" s="411"/>
      <c r="P29" s="411"/>
      <c r="Q29" s="411"/>
      <c r="R29" s="411"/>
      <c r="S29" s="411"/>
      <c r="T29" s="411"/>
      <c r="U29" s="411"/>
      <c r="V29" s="411"/>
      <c r="W29" s="412"/>
      <c r="X29" s="105" t="str">
        <f>IF(SUM(W23:W28)=0,"",ROUNDDOWN(SUM(X23:X28),1))</f>
        <v/>
      </c>
      <c r="Y29" s="106" t="s">
        <v>29</v>
      </c>
      <c r="Z29" s="13"/>
      <c r="AA29" s="16"/>
      <c r="AB29" s="16"/>
      <c r="AC29" s="13"/>
      <c r="AD29" s="13"/>
      <c r="AE29" s="13"/>
      <c r="AF29" s="20"/>
      <c r="AG29" s="20"/>
      <c r="AH29" s="20"/>
      <c r="AI29" s="115"/>
      <c r="AJ29" s="70"/>
      <c r="AK29" s="116"/>
      <c r="AL29" s="70"/>
      <c r="AM29" s="116"/>
      <c r="AN29" s="70"/>
      <c r="AO29" s="117"/>
      <c r="AP29" s="423"/>
      <c r="AQ29" s="512"/>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493"/>
      <c r="BQ29" s="134"/>
      <c r="BR29" s="128" t="s">
        <v>23</v>
      </c>
      <c r="BS29" s="126" t="s">
        <v>4111</v>
      </c>
      <c r="BT29" s="127" t="str">
        <f>IF(COUNTBLANK(BT23:BT28)=6,"",SUM(BT23:BT28))</f>
        <v/>
      </c>
      <c r="BU29" s="127" t="str">
        <f t="shared" ref="BU29:CE29" si="8">IF(COUNTBLANK(BU23:BU28)=6,"",SUM(BU23:BU28))</f>
        <v/>
      </c>
      <c r="BV29" s="127" t="str">
        <f t="shared" si="8"/>
        <v/>
      </c>
      <c r="BW29" s="127" t="str">
        <f t="shared" si="8"/>
        <v/>
      </c>
      <c r="BX29" s="127" t="str">
        <f t="shared" si="8"/>
        <v/>
      </c>
      <c r="BY29" s="127" t="str">
        <f t="shared" si="8"/>
        <v/>
      </c>
      <c r="BZ29" s="127" t="str">
        <f t="shared" si="8"/>
        <v/>
      </c>
      <c r="CA29" s="127" t="str">
        <f t="shared" si="8"/>
        <v/>
      </c>
      <c r="CB29" s="127" t="str">
        <f t="shared" si="8"/>
        <v/>
      </c>
      <c r="CC29" s="127" t="str">
        <f t="shared" si="8"/>
        <v/>
      </c>
      <c r="CD29" s="127" t="str">
        <f t="shared" si="8"/>
        <v/>
      </c>
      <c r="CE29" s="127" t="str">
        <f t="shared" si="8"/>
        <v/>
      </c>
      <c r="CF29" s="127" t="str">
        <f>IF(COUNTBLANK(BT29:CE29)=12,"",SUM(BT29:CE29))</f>
        <v/>
      </c>
      <c r="CG29" s="13"/>
    </row>
    <row r="30" spans="1:85" ht="30" customHeight="1">
      <c r="A30" s="13"/>
      <c r="B30" s="507" t="s">
        <v>4276</v>
      </c>
      <c r="C30" s="508"/>
      <c r="D30" s="27"/>
      <c r="E30" s="393" t="str">
        <f>'係数（事業所用）'!O62</f>
        <v>電気</v>
      </c>
      <c r="F30" s="393"/>
      <c r="G30" s="393"/>
      <c r="H30" s="393"/>
      <c r="I30" s="394"/>
      <c r="J30" s="39" t="str">
        <f>IFERROR(INDEX('係数（事業所用）'!$M$3:$M$80,MATCH(E30,'係数（事業所用）'!$Q$3:$Q$80,0)),"")</f>
        <v>kWh</v>
      </c>
      <c r="K30" s="132"/>
      <c r="L30" s="132"/>
      <c r="M30" s="132"/>
      <c r="N30" s="132"/>
      <c r="O30" s="132"/>
      <c r="P30" s="132"/>
      <c r="Q30" s="132"/>
      <c r="R30" s="132"/>
      <c r="S30" s="132"/>
      <c r="T30" s="132"/>
      <c r="U30" s="132"/>
      <c r="V30" s="132"/>
      <c r="W30" s="118" t="str">
        <f t="shared" ref="W30:W34" si="9">IF(COUNTBLANK(K30:V30)=12,"",SUM(K30:V30))</f>
        <v/>
      </c>
      <c r="X30" s="120" t="str">
        <f t="shared" ref="X30:X33" si="10">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3" t="str">
        <f>"t-CO2/"&amp;AJ30</f>
        <v>t-CO2/千kWh</v>
      </c>
      <c r="AQ30" s="424"/>
      <c r="AR30" s="20"/>
      <c r="AS30" s="20"/>
      <c r="AT30" s="20"/>
      <c r="AU30" s="48" t="str">
        <f>"【事業所】"&amp;$E$30</f>
        <v>【事業所】電気</v>
      </c>
      <c r="AV30" s="41" t="str">
        <f t="shared" ref="AV30" si="11">J30</f>
        <v>kWh</v>
      </c>
      <c r="AW30" s="49">
        <f t="shared" ref="AW30" si="12">K30</f>
        <v>0</v>
      </c>
      <c r="AX30" s="49">
        <f t="shared" ref="AX30" si="13">L30</f>
        <v>0</v>
      </c>
      <c r="AY30" s="49">
        <f t="shared" ref="AY30" si="14">M30</f>
        <v>0</v>
      </c>
      <c r="AZ30" s="49">
        <f t="shared" ref="AZ30" si="15">N30</f>
        <v>0</v>
      </c>
      <c r="BA30" s="49">
        <f t="shared" ref="BA30" si="16">O30</f>
        <v>0</v>
      </c>
      <c r="BB30" s="49">
        <f t="shared" ref="BB30" si="17">P30</f>
        <v>0</v>
      </c>
      <c r="BC30" s="49">
        <f t="shared" ref="BC30" si="18">Q30</f>
        <v>0</v>
      </c>
      <c r="BD30" s="49">
        <f t="shared" ref="BD30" si="19">R30</f>
        <v>0</v>
      </c>
      <c r="BE30" s="49">
        <f t="shared" ref="BE30" si="20">S30</f>
        <v>0</v>
      </c>
      <c r="BF30" s="49">
        <f t="shared" ref="BF30" si="21">T30</f>
        <v>0</v>
      </c>
      <c r="BG30" s="49">
        <f t="shared" ref="BG30" si="22">U30</f>
        <v>0</v>
      </c>
      <c r="BH30" s="49">
        <f t="shared" ref="BH30" si="23">V30</f>
        <v>0</v>
      </c>
      <c r="BI30" s="50" t="str">
        <f>AM30</f>
        <v/>
      </c>
      <c r="BJ30" s="26" t="s">
        <v>4081</v>
      </c>
      <c r="BK30" s="51" t="str">
        <f t="shared" ref="BK30" si="24">X30</f>
        <v/>
      </c>
      <c r="BL30" s="26" t="s">
        <v>29</v>
      </c>
      <c r="BM30" s="20"/>
      <c r="BN30" s="20"/>
      <c r="BO30" s="13"/>
      <c r="BP30" s="494"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509"/>
      <c r="C31" s="510"/>
      <c r="D31" s="27"/>
      <c r="E31" s="393" t="str">
        <f>'係数（事業所用）'!O31</f>
        <v>都市ガス</v>
      </c>
      <c r="F31" s="393"/>
      <c r="G31" s="393"/>
      <c r="H31" s="393"/>
      <c r="I31" s="394"/>
      <c r="J31" s="39" t="str">
        <f>IFERROR(INDEX('係数（事業所用）'!$M$3:$M$80,MATCH(E31,'係数（事業所用）'!$Q$3:$Q$80,0)),"")</f>
        <v>m3</v>
      </c>
      <c r="K31" s="132"/>
      <c r="L31" s="132"/>
      <c r="M31" s="132"/>
      <c r="N31" s="132"/>
      <c r="O31" s="132"/>
      <c r="P31" s="132"/>
      <c r="Q31" s="132"/>
      <c r="R31" s="132"/>
      <c r="S31" s="132"/>
      <c r="T31" s="132"/>
      <c r="U31" s="132"/>
      <c r="V31" s="132"/>
      <c r="W31" s="118" t="str">
        <f t="shared" si="9"/>
        <v/>
      </c>
      <c r="X31" s="121" t="str">
        <f t="shared" si="10"/>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3" t="str">
        <f>"t-CO2/"&amp;AJ31</f>
        <v>t-CO2/千m3</v>
      </c>
      <c r="AQ31" s="424"/>
      <c r="AR31" s="20"/>
      <c r="AS31" s="20"/>
      <c r="AT31" s="20"/>
      <c r="AU31" s="48" t="str">
        <f>"【事業所】"&amp;$E$31</f>
        <v>【事業所】都市ガス</v>
      </c>
      <c r="AV31" s="41" t="str">
        <f t="shared" ref="AV31:AV34" si="25">J31</f>
        <v>m3</v>
      </c>
      <c r="AW31" s="49">
        <f t="shared" ref="AW31:AW34" si="26">K31</f>
        <v>0</v>
      </c>
      <c r="AX31" s="49">
        <f t="shared" ref="AX31:AX34" si="27">L31</f>
        <v>0</v>
      </c>
      <c r="AY31" s="49">
        <f t="shared" ref="AY31:AY34" si="28">M31</f>
        <v>0</v>
      </c>
      <c r="AZ31" s="49">
        <f t="shared" ref="AZ31:AZ34" si="29">N31</f>
        <v>0</v>
      </c>
      <c r="BA31" s="49">
        <f t="shared" ref="BA31:BA34" si="30">O31</f>
        <v>0</v>
      </c>
      <c r="BB31" s="49">
        <f t="shared" ref="BB31:BB34" si="31">P31</f>
        <v>0</v>
      </c>
      <c r="BC31" s="49">
        <f t="shared" ref="BC31:BC34" si="32">Q31</f>
        <v>0</v>
      </c>
      <c r="BD31" s="49">
        <f t="shared" ref="BD31:BD34" si="33">R31</f>
        <v>0</v>
      </c>
      <c r="BE31" s="49">
        <f t="shared" ref="BE31:BE34" si="34">S31</f>
        <v>0</v>
      </c>
      <c r="BF31" s="49">
        <f t="shared" ref="BF31:BF34" si="35">T31</f>
        <v>0</v>
      </c>
      <c r="BG31" s="49">
        <f t="shared" ref="BG31:BG34" si="36">U31</f>
        <v>0</v>
      </c>
      <c r="BH31" s="49">
        <f t="shared" ref="BH31:BH34" si="37">V31</f>
        <v>0</v>
      </c>
      <c r="BI31" s="50" t="str">
        <f t="shared" ref="BI31:BI34" si="38">AM31</f>
        <v/>
      </c>
      <c r="BJ31" s="26" t="s">
        <v>4081</v>
      </c>
      <c r="BK31" s="51" t="str">
        <f t="shared" ref="BK31:BK34" si="39">X31</f>
        <v/>
      </c>
      <c r="BL31" s="26" t="s">
        <v>4278</v>
      </c>
      <c r="BM31" s="20"/>
      <c r="BN31" s="20"/>
      <c r="BO31" s="13"/>
      <c r="BP31" s="495"/>
      <c r="BQ31" s="27"/>
      <c r="BR31" s="52" t="str">
        <f>$E$31</f>
        <v>都市ガス</v>
      </c>
      <c r="BS31" s="39" t="s">
        <v>4111</v>
      </c>
      <c r="BT31" s="5"/>
      <c r="BU31" s="5"/>
      <c r="BV31" s="5"/>
      <c r="BW31" s="5"/>
      <c r="BX31" s="5"/>
      <c r="BY31" s="5"/>
      <c r="BZ31" s="5"/>
      <c r="CA31" s="5"/>
      <c r="CB31" s="5"/>
      <c r="CC31" s="5"/>
      <c r="CD31" s="5"/>
      <c r="CE31" s="5"/>
      <c r="CF31" s="56" t="str">
        <f t="shared" ref="CF31:CF34" si="40">IF(COUNTBLANK(BT31:CE31)=12,"",SUM(BT31:CE31))</f>
        <v/>
      </c>
      <c r="CG31" s="13"/>
    </row>
    <row r="32" spans="1:85" ht="30" customHeight="1">
      <c r="A32" s="13"/>
      <c r="B32" s="509"/>
      <c r="C32" s="510"/>
      <c r="D32" s="27"/>
      <c r="E32" s="393" t="str">
        <f>'係数（事業所用）'!O15</f>
        <v>プロパンガス</v>
      </c>
      <c r="F32" s="393"/>
      <c r="G32" s="393"/>
      <c r="H32" s="393"/>
      <c r="I32" s="394"/>
      <c r="J32" s="39" t="str">
        <f>IFERROR(INDEX('係数（事業所用）'!$M$3:$M$80,MATCH(E32,'係数（事業所用）'!$Q$3:$Q$80,0)),"")</f>
        <v>m3</v>
      </c>
      <c r="K32" s="132"/>
      <c r="L32" s="132"/>
      <c r="M32" s="132"/>
      <c r="N32" s="132"/>
      <c r="O32" s="132"/>
      <c r="P32" s="132"/>
      <c r="Q32" s="132"/>
      <c r="R32" s="132"/>
      <c r="S32" s="132"/>
      <c r="T32" s="132"/>
      <c r="U32" s="132"/>
      <c r="V32" s="132"/>
      <c r="W32" s="118" t="str">
        <f t="shared" si="9"/>
        <v/>
      </c>
      <c r="X32" s="121" t="str">
        <f t="shared" si="10"/>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3" t="str">
        <f>"t-CO2/"&amp;AJ32</f>
        <v>t-CO2/t</v>
      </c>
      <c r="AQ32" s="424"/>
      <c r="AR32" s="20">
        <f>基本設定シート!$D$25</f>
        <v>2.1834061135371181</v>
      </c>
      <c r="AS32" s="20" t="s">
        <v>4048</v>
      </c>
      <c r="AT32" s="20"/>
      <c r="AU32" s="48" t="str">
        <f>"【事業所】"&amp;$E$32</f>
        <v>【事業所】プロパンガス</v>
      </c>
      <c r="AV32" s="41" t="str">
        <f t="shared" si="25"/>
        <v>m3</v>
      </c>
      <c r="AW32" s="49">
        <f t="shared" si="26"/>
        <v>0</v>
      </c>
      <c r="AX32" s="49">
        <f t="shared" si="27"/>
        <v>0</v>
      </c>
      <c r="AY32" s="49">
        <f t="shared" si="28"/>
        <v>0</v>
      </c>
      <c r="AZ32" s="49">
        <f t="shared" si="29"/>
        <v>0</v>
      </c>
      <c r="BA32" s="49">
        <f t="shared" si="30"/>
        <v>0</v>
      </c>
      <c r="BB32" s="49">
        <f t="shared" si="31"/>
        <v>0</v>
      </c>
      <c r="BC32" s="49">
        <f t="shared" si="32"/>
        <v>0</v>
      </c>
      <c r="BD32" s="49">
        <f t="shared" si="33"/>
        <v>0</v>
      </c>
      <c r="BE32" s="49">
        <f t="shared" si="34"/>
        <v>0</v>
      </c>
      <c r="BF32" s="49">
        <f t="shared" si="35"/>
        <v>0</v>
      </c>
      <c r="BG32" s="49">
        <f t="shared" si="36"/>
        <v>0</v>
      </c>
      <c r="BH32" s="49">
        <f t="shared" si="37"/>
        <v>0</v>
      </c>
      <c r="BI32" s="50" t="str">
        <f t="shared" si="38"/>
        <v/>
      </c>
      <c r="BJ32" s="26" t="s">
        <v>4081</v>
      </c>
      <c r="BK32" s="51" t="str">
        <f t="shared" si="39"/>
        <v/>
      </c>
      <c r="BL32" s="26" t="s">
        <v>4279</v>
      </c>
      <c r="BM32" s="20"/>
      <c r="BN32" s="20"/>
      <c r="BO32" s="13"/>
      <c r="BP32" s="495"/>
      <c r="BQ32" s="27"/>
      <c r="BR32" s="52" t="str">
        <f>$E$32</f>
        <v>プロパンガス</v>
      </c>
      <c r="BS32" s="39" t="s">
        <v>4111</v>
      </c>
      <c r="BT32" s="5"/>
      <c r="BU32" s="5"/>
      <c r="BV32" s="5"/>
      <c r="BW32" s="5"/>
      <c r="BX32" s="5"/>
      <c r="BY32" s="5"/>
      <c r="BZ32" s="5"/>
      <c r="CA32" s="5"/>
      <c r="CB32" s="5"/>
      <c r="CC32" s="5"/>
      <c r="CD32" s="5"/>
      <c r="CE32" s="5"/>
      <c r="CF32" s="56" t="str">
        <f t="shared" si="40"/>
        <v/>
      </c>
      <c r="CG32" s="13"/>
    </row>
    <row r="33" spans="1:85" ht="30" customHeight="1">
      <c r="A33" s="13"/>
      <c r="B33" s="509"/>
      <c r="C33" s="510"/>
      <c r="D33" s="27"/>
      <c r="E33" s="393" t="str">
        <f>'係数（事業所用）'!O9</f>
        <v>灯油</v>
      </c>
      <c r="F33" s="393"/>
      <c r="G33" s="393"/>
      <c r="H33" s="393"/>
      <c r="I33" s="394"/>
      <c r="J33" s="39" t="str">
        <f>IFERROR(INDEX('係数（事業所用）'!$M$3:$M$80,MATCH(E33,'係数（事業所用）'!$Q$3:$Q$80,0)),"")</f>
        <v>リットル</v>
      </c>
      <c r="K33" s="132"/>
      <c r="L33" s="132"/>
      <c r="M33" s="132"/>
      <c r="N33" s="132"/>
      <c r="O33" s="132"/>
      <c r="P33" s="132"/>
      <c r="Q33" s="132"/>
      <c r="R33" s="132"/>
      <c r="S33" s="132"/>
      <c r="T33" s="132"/>
      <c r="U33" s="132"/>
      <c r="V33" s="132"/>
      <c r="W33" s="118" t="str">
        <f t="shared" si="9"/>
        <v/>
      </c>
      <c r="X33" s="121" t="str">
        <f t="shared" si="10"/>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3" t="str">
        <f>"t-CO2/"&amp;AJ33</f>
        <v>t-CO2/kl</v>
      </c>
      <c r="AQ33" s="424"/>
      <c r="AR33" s="20"/>
      <c r="AS33" s="20"/>
      <c r="AT33" s="20"/>
      <c r="AU33" s="48" t="str">
        <f>"【事業所】"&amp;$E$33</f>
        <v>【事業所】灯油</v>
      </c>
      <c r="AV33" s="41" t="str">
        <f t="shared" si="25"/>
        <v>リットル</v>
      </c>
      <c r="AW33" s="49">
        <f t="shared" si="26"/>
        <v>0</v>
      </c>
      <c r="AX33" s="49">
        <f t="shared" si="27"/>
        <v>0</v>
      </c>
      <c r="AY33" s="49">
        <f t="shared" si="28"/>
        <v>0</v>
      </c>
      <c r="AZ33" s="49">
        <f t="shared" si="29"/>
        <v>0</v>
      </c>
      <c r="BA33" s="49">
        <f t="shared" si="30"/>
        <v>0</v>
      </c>
      <c r="BB33" s="49">
        <f t="shared" si="31"/>
        <v>0</v>
      </c>
      <c r="BC33" s="49">
        <f t="shared" si="32"/>
        <v>0</v>
      </c>
      <c r="BD33" s="49">
        <f t="shared" si="33"/>
        <v>0</v>
      </c>
      <c r="BE33" s="49">
        <f t="shared" si="34"/>
        <v>0</v>
      </c>
      <c r="BF33" s="49">
        <f t="shared" si="35"/>
        <v>0</v>
      </c>
      <c r="BG33" s="49">
        <f t="shared" si="36"/>
        <v>0</v>
      </c>
      <c r="BH33" s="49">
        <f t="shared" si="37"/>
        <v>0</v>
      </c>
      <c r="BI33" s="50" t="str">
        <f t="shared" si="38"/>
        <v/>
      </c>
      <c r="BJ33" s="26" t="s">
        <v>4081</v>
      </c>
      <c r="BK33" s="51" t="str">
        <f t="shared" si="39"/>
        <v/>
      </c>
      <c r="BL33" s="26" t="s">
        <v>4280</v>
      </c>
      <c r="BM33" s="20"/>
      <c r="BN33" s="20"/>
      <c r="BO33" s="13"/>
      <c r="BP33" s="495"/>
      <c r="BQ33" s="27"/>
      <c r="BR33" s="52" t="str">
        <f>$E$33</f>
        <v>灯油</v>
      </c>
      <c r="BS33" s="39" t="s">
        <v>4111</v>
      </c>
      <c r="BT33" s="5"/>
      <c r="BU33" s="5"/>
      <c r="BV33" s="5"/>
      <c r="BW33" s="5"/>
      <c r="BX33" s="5"/>
      <c r="BY33" s="5"/>
      <c r="BZ33" s="5"/>
      <c r="CA33" s="5"/>
      <c r="CB33" s="5"/>
      <c r="CC33" s="5"/>
      <c r="CD33" s="5"/>
      <c r="CE33" s="5"/>
      <c r="CF33" s="56" t="str">
        <f t="shared" si="40"/>
        <v/>
      </c>
      <c r="CG33" s="13"/>
    </row>
    <row r="34" spans="1:85" ht="30" customHeight="1" thickBot="1">
      <c r="A34" s="13"/>
      <c r="B34" s="509"/>
      <c r="C34" s="510"/>
      <c r="D34" s="114"/>
      <c r="E34" s="497" t="s">
        <v>4078</v>
      </c>
      <c r="F34" s="497"/>
      <c r="G34" s="497"/>
      <c r="H34" s="497"/>
      <c r="I34" s="498"/>
      <c r="J34" s="55" t="str">
        <f>IFERROR(INDEX('係数（事業所用）'!$M$3:$M$80,MATCH(E34,'係数（事業所用）'!$Q$3:$Q$80,0)),"")</f>
        <v/>
      </c>
      <c r="K34" s="133"/>
      <c r="L34" s="133"/>
      <c r="M34" s="133"/>
      <c r="N34" s="133"/>
      <c r="O34" s="133"/>
      <c r="P34" s="133"/>
      <c r="Q34" s="133"/>
      <c r="R34" s="133"/>
      <c r="S34" s="133"/>
      <c r="T34" s="133"/>
      <c r="U34" s="133"/>
      <c r="V34" s="133"/>
      <c r="W34" s="119" t="str">
        <f t="shared" si="9"/>
        <v/>
      </c>
      <c r="X34" s="122" t="str">
        <f>IF(OR(AI34="",AO34=""),"",AI34*AO34)</f>
        <v/>
      </c>
      <c r="Y34" s="58" t="s">
        <v>29</v>
      </c>
      <c r="Z34" s="15"/>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1">IF(AI34="","",AI34*AK34)</f>
        <v/>
      </c>
      <c r="AN34" s="26" t="s">
        <v>4081</v>
      </c>
      <c r="AO34" s="92" t="str">
        <f>IFERROR(INDEX('係数（事業所用）'!$R$3:$R$80,MATCH(E34,'係数（事業所用）'!$Q$3:$Q$80,0)),"")</f>
        <v/>
      </c>
      <c r="AP34" s="423" t="str">
        <f t="shared" ref="AP34" si="42">"t-CO2/"&amp;AJ34</f>
        <v>t-CO2/</v>
      </c>
      <c r="AQ34" s="424"/>
      <c r="AR34" s="20"/>
      <c r="AS34" s="20"/>
      <c r="AT34" s="20"/>
      <c r="AU34" s="48" t="str">
        <f>IF($AM$34="","","【事業所】"&amp;$E$34)</f>
        <v/>
      </c>
      <c r="AV34" s="41" t="str">
        <f t="shared" si="25"/>
        <v/>
      </c>
      <c r="AW34" s="49">
        <f t="shared" si="26"/>
        <v>0</v>
      </c>
      <c r="AX34" s="49">
        <f t="shared" si="27"/>
        <v>0</v>
      </c>
      <c r="AY34" s="49">
        <f t="shared" si="28"/>
        <v>0</v>
      </c>
      <c r="AZ34" s="49">
        <f t="shared" si="29"/>
        <v>0</v>
      </c>
      <c r="BA34" s="49">
        <f t="shared" si="30"/>
        <v>0</v>
      </c>
      <c r="BB34" s="49">
        <f t="shared" si="31"/>
        <v>0</v>
      </c>
      <c r="BC34" s="49">
        <f t="shared" si="32"/>
        <v>0</v>
      </c>
      <c r="BD34" s="49">
        <f t="shared" si="33"/>
        <v>0</v>
      </c>
      <c r="BE34" s="49">
        <f t="shared" si="34"/>
        <v>0</v>
      </c>
      <c r="BF34" s="49">
        <f t="shared" si="35"/>
        <v>0</v>
      </c>
      <c r="BG34" s="49">
        <f t="shared" si="36"/>
        <v>0</v>
      </c>
      <c r="BH34" s="49">
        <f t="shared" si="37"/>
        <v>0</v>
      </c>
      <c r="BI34" s="50" t="str">
        <f t="shared" si="38"/>
        <v/>
      </c>
      <c r="BJ34" s="26" t="s">
        <v>4081</v>
      </c>
      <c r="BK34" s="51" t="str">
        <f t="shared" si="39"/>
        <v/>
      </c>
      <c r="BL34" s="26" t="s">
        <v>29</v>
      </c>
      <c r="BM34" s="20"/>
      <c r="BN34" s="20"/>
      <c r="BO34" s="13"/>
      <c r="BP34" s="495"/>
      <c r="BQ34" s="53"/>
      <c r="BR34" s="54" t="str">
        <f>IF($AM$34="","",$E$34)</f>
        <v/>
      </c>
      <c r="BS34" s="55" t="s">
        <v>4111</v>
      </c>
      <c r="BT34" s="6"/>
      <c r="BU34" s="6"/>
      <c r="BV34" s="6"/>
      <c r="BW34" s="6"/>
      <c r="BX34" s="6"/>
      <c r="BY34" s="6"/>
      <c r="BZ34" s="6"/>
      <c r="CA34" s="6"/>
      <c r="CB34" s="6"/>
      <c r="CC34" s="6"/>
      <c r="CD34" s="6"/>
      <c r="CE34" s="6"/>
      <c r="CF34" s="57" t="str">
        <f t="shared" si="40"/>
        <v/>
      </c>
      <c r="CG34" s="13"/>
    </row>
    <row r="35" spans="1:85" ht="30" customHeight="1" thickTop="1">
      <c r="A35" s="13"/>
      <c r="B35" s="496"/>
      <c r="C35" s="511"/>
      <c r="D35" s="499" t="s">
        <v>23</v>
      </c>
      <c r="E35" s="499"/>
      <c r="F35" s="499"/>
      <c r="G35" s="499"/>
      <c r="H35" s="499"/>
      <c r="I35" s="499"/>
      <c r="J35" s="499"/>
      <c r="K35" s="499"/>
      <c r="L35" s="499"/>
      <c r="M35" s="499"/>
      <c r="N35" s="499"/>
      <c r="O35" s="499"/>
      <c r="P35" s="499"/>
      <c r="Q35" s="499"/>
      <c r="R35" s="499"/>
      <c r="S35" s="499"/>
      <c r="T35" s="499"/>
      <c r="U35" s="499"/>
      <c r="V35" s="499"/>
      <c r="W35" s="500"/>
      <c r="X35" s="123" t="str">
        <f>IF(SUM(W30:W34)=0,"",ROUNDDOWN(SUM(X30:X34),1))</f>
        <v/>
      </c>
      <c r="Y35" s="110" t="s">
        <v>29</v>
      </c>
      <c r="Z35" s="13"/>
      <c r="AA35" s="13"/>
      <c r="AB35" s="13"/>
      <c r="AC35" s="13"/>
      <c r="AD35" s="13"/>
      <c r="AE35" s="13"/>
      <c r="AF35" s="20"/>
      <c r="AG35" s="20"/>
      <c r="AH35" s="20"/>
      <c r="AI35" s="20"/>
      <c r="AJ35" s="20"/>
      <c r="AK35" s="20"/>
      <c r="AL35" s="20"/>
      <c r="AM35" s="20"/>
      <c r="AN35" s="20"/>
      <c r="AO35" s="20"/>
      <c r="AP35" s="20"/>
      <c r="AQ35" s="20"/>
      <c r="AR35" s="20"/>
      <c r="AS35" s="20"/>
      <c r="AT35" s="20"/>
      <c r="BA35" s="20"/>
      <c r="BB35" s="20"/>
      <c r="BC35" s="20"/>
      <c r="BD35" s="20"/>
      <c r="BE35" s="20"/>
      <c r="BF35" s="20"/>
      <c r="BG35" s="20"/>
      <c r="BH35" s="20"/>
      <c r="BI35" s="20"/>
      <c r="BJ35" s="20"/>
      <c r="BK35" s="20"/>
      <c r="BL35" s="20"/>
      <c r="BM35" s="20"/>
      <c r="BN35" s="20"/>
      <c r="BO35" s="13"/>
      <c r="BP35" s="496"/>
      <c r="BQ35" s="135"/>
      <c r="BR35" s="109" t="s">
        <v>23</v>
      </c>
      <c r="BS35" s="130" t="s">
        <v>4111</v>
      </c>
      <c r="BT35" s="131" t="str">
        <f>IF(COUNTBLANK(BT30:BT34)=5,"",SUM(BT30:BT34))</f>
        <v/>
      </c>
      <c r="BU35" s="131" t="str">
        <f t="shared" ref="BU35:CE35" si="43">IF(COUNTBLANK(BU30:BU34)=5,"",SUM(BU30:BU34))</f>
        <v/>
      </c>
      <c r="BV35" s="131" t="str">
        <f t="shared" si="43"/>
        <v/>
      </c>
      <c r="BW35" s="131" t="str">
        <f t="shared" si="43"/>
        <v/>
      </c>
      <c r="BX35" s="131" t="str">
        <f t="shared" si="43"/>
        <v/>
      </c>
      <c r="BY35" s="131" t="str">
        <f t="shared" si="43"/>
        <v/>
      </c>
      <c r="BZ35" s="131" t="str">
        <f t="shared" si="43"/>
        <v/>
      </c>
      <c r="CA35" s="131" t="str">
        <f t="shared" si="43"/>
        <v/>
      </c>
      <c r="CB35" s="131" t="str">
        <f t="shared" si="43"/>
        <v/>
      </c>
      <c r="CC35" s="131" t="str">
        <f t="shared" si="43"/>
        <v/>
      </c>
      <c r="CD35" s="131" t="str">
        <f t="shared" si="43"/>
        <v/>
      </c>
      <c r="CE35" s="131" t="str">
        <f t="shared" si="43"/>
        <v/>
      </c>
      <c r="CF35" s="131" t="str">
        <f>IF(COUNTBLANK(BT35:CE35)=12,"",SUM(BT35:CE35))</f>
        <v/>
      </c>
      <c r="CG35" s="13"/>
    </row>
    <row r="36" spans="1:85" ht="20.4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20"/>
      <c r="AG36" s="20"/>
      <c r="AH36" s="20"/>
      <c r="AI36" s="20"/>
      <c r="AJ36" s="20"/>
      <c r="AK36" s="20"/>
      <c r="AL36" s="20"/>
      <c r="AM36" s="20"/>
      <c r="AN36" s="20"/>
      <c r="AO36" s="20"/>
      <c r="AP36" s="20"/>
      <c r="AQ36" s="20"/>
      <c r="AR36" s="20"/>
      <c r="AS36" s="20"/>
      <c r="AT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25" t="str">
        <f>"車両台数（"&amp;基本設定シート!B11-1&amp;"年度）"</f>
        <v>車両台数（2025年度）</v>
      </c>
      <c r="C37" s="426"/>
      <c r="D37" s="426"/>
      <c r="E37" s="426"/>
      <c r="F37" s="426"/>
      <c r="G37" s="427"/>
      <c r="H37" s="13"/>
      <c r="I37" s="13"/>
      <c r="J37" s="13"/>
      <c r="K37" s="13"/>
      <c r="L37" s="13"/>
      <c r="M37" s="13"/>
      <c r="N37" s="13"/>
      <c r="O37" s="13"/>
      <c r="P37" s="13"/>
      <c r="Q37" s="13"/>
      <c r="R37" s="13"/>
      <c r="S37" s="13"/>
      <c r="T37" s="13"/>
      <c r="U37" s="13"/>
      <c r="V37" s="13"/>
      <c r="W37" s="13"/>
      <c r="X37" s="13"/>
      <c r="Y37" s="13"/>
      <c r="Z37" s="13"/>
      <c r="AA37" s="13"/>
      <c r="AB37" s="13"/>
      <c r="AC37" s="13"/>
      <c r="AD37" s="13"/>
      <c r="AE37" s="13"/>
      <c r="AF37" s="20"/>
      <c r="AG37" s="20"/>
      <c r="AH37" s="20"/>
      <c r="AI37" s="20"/>
      <c r="AJ37" s="20"/>
      <c r="AK37" s="20"/>
      <c r="AL37" s="20"/>
      <c r="AM37" s="20"/>
      <c r="AN37" s="20"/>
      <c r="AO37" s="20"/>
      <c r="AP37" s="20"/>
      <c r="AQ37" s="20"/>
      <c r="AR37" s="20"/>
      <c r="AS37" s="20"/>
      <c r="AT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20"/>
      <c r="AG38" s="20"/>
      <c r="AH38" s="20"/>
      <c r="AI38" s="20"/>
      <c r="AJ38" s="20"/>
      <c r="AK38" s="20"/>
      <c r="AL38" s="20"/>
      <c r="AM38" s="20"/>
      <c r="AN38" s="20"/>
      <c r="AO38" s="20"/>
      <c r="AP38" s="20"/>
      <c r="AQ38" s="20"/>
      <c r="AR38" s="20"/>
      <c r="AS38" s="20"/>
      <c r="AT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450" t="s">
        <v>4289</v>
      </c>
      <c r="C39" s="450"/>
      <c r="D39" s="450"/>
      <c r="E39" s="450"/>
      <c r="F39" s="450" t="s">
        <v>4290</v>
      </c>
      <c r="G39" s="450"/>
      <c r="H39" s="450" t="s">
        <v>4294</v>
      </c>
      <c r="I39" s="450"/>
      <c r="J39" s="450"/>
      <c r="K39" s="450"/>
      <c r="L39" s="450"/>
      <c r="M39" s="91" t="s">
        <v>4295</v>
      </c>
      <c r="N39" s="13"/>
      <c r="O39" s="13"/>
      <c r="P39" s="13"/>
      <c r="Q39" s="13"/>
      <c r="R39" s="13"/>
      <c r="S39" s="13"/>
      <c r="T39" s="13"/>
      <c r="U39" s="13"/>
      <c r="V39" s="13"/>
      <c r="W39" s="13"/>
      <c r="X39" s="13"/>
      <c r="Y39" s="13"/>
      <c r="Z39" s="13"/>
      <c r="AA39" s="13"/>
      <c r="AB39" s="13"/>
      <c r="AC39" s="13"/>
      <c r="AD39" s="13"/>
      <c r="AE39" s="13"/>
      <c r="AF39" s="20"/>
      <c r="AG39" s="20"/>
      <c r="AH39" s="20"/>
      <c r="AI39" s="20"/>
      <c r="AJ39" s="20"/>
      <c r="AK39" s="20"/>
      <c r="AL39" s="20"/>
      <c r="AM39" s="20"/>
      <c r="AN39" s="20"/>
      <c r="AO39" s="20"/>
      <c r="AP39" s="20"/>
      <c r="AQ39" s="20"/>
      <c r="AR39" s="20"/>
      <c r="AS39" s="20"/>
      <c r="AT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481" t="s">
        <v>4296</v>
      </c>
      <c r="C40" s="481"/>
      <c r="D40" s="481"/>
      <c r="E40" s="481"/>
      <c r="F40" s="483"/>
      <c r="G40" s="484"/>
      <c r="H40" s="518" t="s">
        <v>4293</v>
      </c>
      <c r="I40" s="518"/>
      <c r="J40" s="518"/>
      <c r="K40" s="518"/>
      <c r="L40" s="518"/>
      <c r="M40" s="142"/>
      <c r="N40" s="13"/>
      <c r="O40" s="13"/>
      <c r="P40" s="13"/>
      <c r="Q40" s="13"/>
      <c r="R40" s="13"/>
      <c r="S40" s="13"/>
      <c r="T40" s="13"/>
      <c r="U40" s="13"/>
      <c r="V40" s="13"/>
      <c r="W40" s="13"/>
      <c r="X40" s="13"/>
      <c r="Y40" s="13"/>
      <c r="Z40" s="13"/>
      <c r="AA40" s="13"/>
      <c r="AB40" s="13"/>
      <c r="AC40" s="13"/>
      <c r="AD40" s="13"/>
      <c r="AE40" s="13"/>
      <c r="AF40" s="20"/>
      <c r="AG40" s="20"/>
      <c r="AH40" s="20"/>
      <c r="AI40" s="20"/>
      <c r="AJ40" s="20"/>
      <c r="AK40" s="20"/>
      <c r="AL40" s="20"/>
      <c r="AM40" s="20"/>
      <c r="AN40" s="20"/>
      <c r="AO40" s="20"/>
      <c r="AP40" s="20"/>
      <c r="AQ40" s="20"/>
      <c r="AR40" s="20"/>
      <c r="AS40" s="20"/>
      <c r="AT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481"/>
      <c r="C41" s="481"/>
      <c r="D41" s="481"/>
      <c r="E41" s="481"/>
      <c r="F41" s="485"/>
      <c r="G41" s="486"/>
      <c r="H41" s="519" t="s">
        <v>4292</v>
      </c>
      <c r="I41" s="519"/>
      <c r="J41" s="519"/>
      <c r="K41" s="519"/>
      <c r="L41" s="519"/>
      <c r="M41" s="143"/>
      <c r="N41" s="13"/>
      <c r="O41" s="13"/>
      <c r="P41" s="13"/>
      <c r="Q41" s="13"/>
      <c r="R41" s="13"/>
      <c r="S41" s="13"/>
      <c r="T41" s="13"/>
      <c r="U41" s="13"/>
      <c r="V41" s="13"/>
      <c r="W41" s="13"/>
      <c r="X41" s="13"/>
      <c r="Y41" s="13"/>
      <c r="Z41" s="13"/>
      <c r="AA41" s="13"/>
      <c r="AB41" s="13"/>
      <c r="AC41" s="13"/>
      <c r="AD41" s="13"/>
      <c r="AE41" s="13"/>
      <c r="AF41" s="20"/>
      <c r="AG41" s="20"/>
      <c r="AH41" s="20"/>
      <c r="AI41" s="20"/>
      <c r="AJ41" s="20"/>
      <c r="AK41" s="20"/>
      <c r="AL41" s="20"/>
      <c r="AM41" s="20"/>
      <c r="AN41" s="20"/>
      <c r="AO41" s="20"/>
      <c r="AP41" s="20"/>
      <c r="AQ41" s="20"/>
      <c r="AR41" s="20"/>
      <c r="AS41" s="20"/>
      <c r="AT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481"/>
      <c r="C42" s="481"/>
      <c r="D42" s="481"/>
      <c r="E42" s="481"/>
      <c r="F42" s="487"/>
      <c r="G42" s="488"/>
      <c r="H42" s="519" t="s">
        <v>4291</v>
      </c>
      <c r="I42" s="519"/>
      <c r="J42" s="519"/>
      <c r="K42" s="519"/>
      <c r="L42" s="519"/>
      <c r="M42" s="143"/>
      <c r="N42" s="13"/>
      <c r="O42" s="13"/>
      <c r="P42" s="13"/>
      <c r="Q42" s="13"/>
      <c r="R42" s="13"/>
      <c r="S42" s="13"/>
      <c r="T42" s="13"/>
      <c r="U42" s="13"/>
      <c r="V42" s="13"/>
      <c r="W42" s="13"/>
      <c r="X42" s="13"/>
      <c r="Y42" s="13"/>
      <c r="Z42" s="13"/>
      <c r="AA42" s="13"/>
      <c r="AB42" s="13"/>
      <c r="AC42" s="13"/>
      <c r="AD42" s="13"/>
      <c r="AE42" s="13"/>
      <c r="AF42" s="20"/>
      <c r="AG42" s="20"/>
      <c r="AH42" s="20"/>
      <c r="AI42" s="20"/>
      <c r="AJ42" s="20"/>
      <c r="AK42" s="20"/>
      <c r="AL42" s="20"/>
      <c r="AM42" s="20"/>
      <c r="AN42" s="20"/>
      <c r="AO42" s="20"/>
      <c r="AP42" s="20"/>
      <c r="AQ42" s="20"/>
      <c r="AR42" s="20"/>
      <c r="AS42" s="20"/>
      <c r="AT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481" t="s">
        <v>4297</v>
      </c>
      <c r="C43" s="481"/>
      <c r="D43" s="481"/>
      <c r="E43" s="481"/>
      <c r="F43" s="483"/>
      <c r="G43" s="484"/>
      <c r="H43" s="518" t="s">
        <v>4293</v>
      </c>
      <c r="I43" s="518"/>
      <c r="J43" s="518"/>
      <c r="K43" s="518"/>
      <c r="L43" s="518"/>
      <c r="M43" s="143"/>
      <c r="N43" s="13"/>
      <c r="O43" s="13"/>
      <c r="P43" s="13"/>
      <c r="Q43" s="13"/>
      <c r="R43" s="13"/>
      <c r="S43" s="13"/>
      <c r="T43" s="13"/>
      <c r="U43" s="13"/>
      <c r="V43" s="13"/>
      <c r="W43" s="13"/>
      <c r="X43" s="13"/>
      <c r="Y43" s="13"/>
      <c r="Z43" s="13"/>
      <c r="AA43" s="13"/>
      <c r="AB43" s="13"/>
      <c r="AC43" s="13"/>
      <c r="AD43" s="13"/>
      <c r="AE43" s="13"/>
      <c r="AF43" s="20"/>
      <c r="AG43" s="20"/>
      <c r="AH43" s="20"/>
      <c r="AI43" s="20"/>
      <c r="AJ43" s="20"/>
      <c r="AK43" s="20"/>
      <c r="AL43" s="20"/>
      <c r="AM43" s="20"/>
      <c r="AN43" s="20"/>
      <c r="AO43" s="20"/>
      <c r="AP43" s="20"/>
      <c r="AQ43" s="20"/>
      <c r="AR43" s="20"/>
      <c r="AS43" s="20"/>
      <c r="AT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481"/>
      <c r="C44" s="481"/>
      <c r="D44" s="481"/>
      <c r="E44" s="481"/>
      <c r="F44" s="485"/>
      <c r="G44" s="486"/>
      <c r="H44" s="519" t="s">
        <v>4292</v>
      </c>
      <c r="I44" s="519"/>
      <c r="J44" s="519"/>
      <c r="K44" s="519"/>
      <c r="L44" s="519"/>
      <c r="M44" s="143"/>
      <c r="N44" s="13"/>
      <c r="O44" s="13"/>
      <c r="P44" s="13"/>
      <c r="Q44" s="13"/>
      <c r="R44" s="13"/>
      <c r="S44" s="13"/>
      <c r="T44" s="13"/>
      <c r="U44" s="13"/>
      <c r="V44" s="13"/>
      <c r="W44" s="13"/>
      <c r="X44" s="13"/>
      <c r="Y44" s="13"/>
      <c r="Z44" s="13"/>
      <c r="AA44" s="13"/>
      <c r="AB44" s="13"/>
      <c r="AC44" s="13"/>
      <c r="AD44" s="13"/>
      <c r="AE44" s="13"/>
      <c r="AF44" s="20"/>
      <c r="AG44" s="20"/>
      <c r="AH44" s="20"/>
      <c r="AI44" s="20"/>
      <c r="AJ44" s="20"/>
      <c r="AK44" s="20"/>
      <c r="AL44" s="20"/>
      <c r="AM44" s="20"/>
      <c r="AN44" s="20"/>
      <c r="AO44" s="20"/>
      <c r="AP44" s="20"/>
      <c r="AQ44" s="20"/>
      <c r="AR44" s="20"/>
      <c r="AS44" s="20"/>
      <c r="AT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481"/>
      <c r="C45" s="481"/>
      <c r="D45" s="481"/>
      <c r="E45" s="481"/>
      <c r="F45" s="487"/>
      <c r="G45" s="488"/>
      <c r="H45" s="519" t="s">
        <v>4291</v>
      </c>
      <c r="I45" s="519"/>
      <c r="J45" s="519"/>
      <c r="K45" s="519"/>
      <c r="L45" s="519"/>
      <c r="M45" s="143"/>
      <c r="N45" s="13"/>
      <c r="O45" s="13"/>
      <c r="P45" s="13"/>
      <c r="Q45" s="13"/>
      <c r="R45" s="13"/>
      <c r="S45" s="13"/>
      <c r="T45" s="13"/>
      <c r="U45" s="13"/>
      <c r="V45" s="13"/>
      <c r="W45" s="13"/>
      <c r="X45" s="13"/>
      <c r="Y45" s="13"/>
      <c r="Z45" s="13"/>
      <c r="AA45" s="13"/>
      <c r="AB45" s="13"/>
      <c r="AC45" s="13"/>
      <c r="AD45" s="13"/>
      <c r="AE45" s="13"/>
      <c r="AF45" s="20"/>
      <c r="AG45" s="20"/>
      <c r="AH45" s="20"/>
      <c r="AI45" s="20"/>
      <c r="AJ45" s="20"/>
      <c r="AK45" s="20"/>
      <c r="AL45" s="20"/>
      <c r="AM45" s="20"/>
      <c r="AN45" s="20"/>
      <c r="AO45" s="20"/>
      <c r="AP45" s="20"/>
      <c r="AQ45" s="20"/>
      <c r="AR45" s="20"/>
      <c r="AS45" s="20"/>
      <c r="AT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481" t="s">
        <v>4298</v>
      </c>
      <c r="C46" s="481"/>
      <c r="D46" s="481"/>
      <c r="E46" s="481"/>
      <c r="F46" s="483"/>
      <c r="G46" s="484"/>
      <c r="H46" s="518" t="s">
        <v>4293</v>
      </c>
      <c r="I46" s="518"/>
      <c r="J46" s="518"/>
      <c r="K46" s="518"/>
      <c r="L46" s="518"/>
      <c r="M46" s="143"/>
      <c r="N46" s="13"/>
      <c r="O46" s="13"/>
      <c r="P46" s="13"/>
      <c r="Q46" s="13"/>
      <c r="R46" s="13"/>
      <c r="S46" s="13"/>
      <c r="T46" s="13"/>
      <c r="U46" s="13"/>
      <c r="V46" s="13"/>
      <c r="W46" s="13"/>
      <c r="X46" s="13"/>
      <c r="Y46" s="13"/>
      <c r="Z46" s="13"/>
      <c r="AA46" s="13"/>
      <c r="AB46" s="13"/>
      <c r="AC46" s="13"/>
      <c r="AD46" s="13"/>
      <c r="AE46" s="13"/>
      <c r="AF46" s="20"/>
      <c r="AG46" s="20"/>
      <c r="AH46" s="20"/>
      <c r="AI46" s="20"/>
      <c r="AJ46" s="20"/>
      <c r="AK46" s="20"/>
      <c r="AL46" s="20"/>
      <c r="AM46" s="20"/>
      <c r="AN46" s="20"/>
      <c r="AO46" s="20"/>
      <c r="AP46" s="20"/>
      <c r="AQ46" s="20"/>
      <c r="AR46" s="20"/>
      <c r="AS46" s="20"/>
      <c r="AT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482"/>
      <c r="C47" s="482"/>
      <c r="D47" s="482"/>
      <c r="E47" s="482"/>
      <c r="F47" s="489"/>
      <c r="G47" s="490"/>
      <c r="H47" s="520" t="s">
        <v>4292</v>
      </c>
      <c r="I47" s="520"/>
      <c r="J47" s="520"/>
      <c r="K47" s="520"/>
      <c r="L47" s="520"/>
      <c r="M47" s="144"/>
      <c r="N47" s="13"/>
      <c r="O47" s="13"/>
      <c r="P47" s="13"/>
      <c r="Q47" s="13"/>
      <c r="R47" s="13"/>
      <c r="S47" s="13"/>
      <c r="T47" s="13"/>
      <c r="U47" s="13"/>
      <c r="V47" s="13"/>
      <c r="W47" s="13"/>
      <c r="X47" s="13"/>
      <c r="Y47" s="13"/>
      <c r="Z47" s="13"/>
      <c r="AA47" s="13"/>
      <c r="AB47" s="13"/>
      <c r="AC47" s="13"/>
      <c r="AD47" s="13"/>
      <c r="AE47" s="13"/>
      <c r="AF47" s="20"/>
      <c r="AG47" s="20"/>
      <c r="AH47" s="20"/>
      <c r="AI47" s="20"/>
      <c r="AJ47" s="20"/>
      <c r="AK47" s="20"/>
      <c r="AL47" s="20"/>
      <c r="AM47" s="20"/>
      <c r="AN47" s="20"/>
      <c r="AO47" s="20"/>
      <c r="AP47" s="20"/>
      <c r="AQ47" s="20"/>
      <c r="AR47" s="20"/>
      <c r="AS47" s="20"/>
      <c r="AT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15" t="s">
        <v>23</v>
      </c>
      <c r="C48" s="515"/>
      <c r="D48" s="515"/>
      <c r="E48" s="515"/>
      <c r="F48" s="516" t="str">
        <f>IF(COUNTBLANK(F40:G47)=16,"",SUM(F40:G47))</f>
        <v/>
      </c>
      <c r="G48" s="517"/>
      <c r="H48" s="515" t="s">
        <v>23</v>
      </c>
      <c r="I48" s="515"/>
      <c r="J48" s="515"/>
      <c r="K48" s="515"/>
      <c r="L48" s="515"/>
      <c r="M48" s="145"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20"/>
      <c r="AJ48" s="20"/>
      <c r="AK48" s="20"/>
      <c r="AL48" s="20"/>
      <c r="AM48" s="20"/>
      <c r="AN48" s="20"/>
      <c r="AO48" s="20"/>
      <c r="AP48" s="20"/>
      <c r="AQ48" s="20"/>
      <c r="AR48" s="20"/>
      <c r="AS48" s="20"/>
      <c r="AT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20"/>
      <c r="AG49" s="20"/>
      <c r="AH49" s="20"/>
      <c r="AI49" s="20"/>
      <c r="AJ49" s="20"/>
      <c r="AK49" s="20"/>
      <c r="AL49" s="20"/>
      <c r="AM49" s="20"/>
      <c r="AN49" s="20"/>
      <c r="AO49" s="20"/>
      <c r="AP49" s="20"/>
      <c r="AQ49" s="20"/>
      <c r="AR49" s="20"/>
      <c r="AS49" s="20"/>
      <c r="AT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16.5" hidden="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20"/>
      <c r="AG50" s="60" t="s">
        <v>4236</v>
      </c>
      <c r="AH50" s="20"/>
      <c r="AI50" s="20"/>
      <c r="AJ50" s="20"/>
      <c r="AK50" s="20"/>
      <c r="AL50" s="20"/>
      <c r="AM50" s="20"/>
      <c r="AN50" s="20"/>
      <c r="AO50" s="20"/>
      <c r="AP50" s="20"/>
      <c r="AQ50" s="20"/>
      <c r="AR50" s="20"/>
      <c r="AS50" s="20"/>
      <c r="AT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16.5" hidden="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20"/>
      <c r="AG51" s="60" t="s">
        <v>4236</v>
      </c>
      <c r="AH51" s="20"/>
      <c r="AI51" s="20"/>
      <c r="AJ51" s="20"/>
      <c r="AK51" s="20"/>
      <c r="AL51" s="20"/>
      <c r="AM51" s="20"/>
      <c r="AN51" s="20"/>
      <c r="AO51" s="20"/>
      <c r="AP51" s="20"/>
      <c r="AQ51" s="20"/>
      <c r="AR51" s="20"/>
      <c r="AS51" s="20"/>
      <c r="AT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16.5" hidden="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20"/>
      <c r="AG52" s="60" t="s">
        <v>4236</v>
      </c>
      <c r="AH52" s="20"/>
      <c r="AI52" s="20"/>
      <c r="AJ52" s="20"/>
      <c r="AK52" s="20"/>
      <c r="AL52" s="20"/>
      <c r="AM52" s="20"/>
      <c r="AN52" s="20"/>
      <c r="AO52" s="20"/>
      <c r="AP52" s="20"/>
      <c r="AQ52" s="20"/>
      <c r="AR52" s="20"/>
      <c r="AS52" s="20"/>
      <c r="AT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16.5" hidden="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20"/>
      <c r="AG53" s="60" t="s">
        <v>4236</v>
      </c>
      <c r="AH53" s="20"/>
      <c r="AI53" s="20"/>
      <c r="AJ53" s="20"/>
      <c r="AK53" s="20"/>
      <c r="AL53" s="20"/>
      <c r="AM53" s="20"/>
      <c r="AN53" s="20"/>
      <c r="AO53" s="20"/>
      <c r="AP53" s="20"/>
      <c r="AQ53" s="20"/>
      <c r="AR53" s="20"/>
      <c r="AS53" s="20"/>
      <c r="AT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16.5" hidden="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20"/>
      <c r="AG54" s="60" t="s">
        <v>4236</v>
      </c>
      <c r="AH54" s="20"/>
      <c r="AI54" s="20"/>
      <c r="AJ54" s="20"/>
      <c r="AK54" s="20"/>
      <c r="AL54" s="20"/>
      <c r="AM54" s="20"/>
      <c r="AN54" s="20"/>
      <c r="AO54" s="20"/>
      <c r="AP54" s="20"/>
      <c r="AQ54" s="20"/>
      <c r="AR54" s="20"/>
      <c r="AS54" s="20"/>
      <c r="AT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6.5" hidden="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20"/>
      <c r="AG55" s="60" t="s">
        <v>4236</v>
      </c>
      <c r="AH55" s="20"/>
      <c r="AI55" s="20"/>
      <c r="AJ55" s="20"/>
      <c r="AK55" s="20"/>
      <c r="AL55" s="20"/>
      <c r="AM55" s="20"/>
      <c r="AN55" s="20"/>
      <c r="AO55" s="20"/>
      <c r="AP55" s="20"/>
      <c r="AQ55" s="20"/>
      <c r="AR55" s="20"/>
      <c r="AS55" s="20"/>
      <c r="AT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16.5" hidden="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60" t="s">
        <v>4236</v>
      </c>
      <c r="AH56" s="20"/>
      <c r="AI56" s="20"/>
      <c r="AJ56" s="20"/>
      <c r="AK56" s="20"/>
      <c r="AL56" s="20"/>
      <c r="AM56" s="20"/>
      <c r="AN56" s="20"/>
      <c r="AO56" s="20"/>
      <c r="AP56" s="20"/>
      <c r="AQ56" s="20"/>
      <c r="AR56" s="20"/>
      <c r="AS56" s="20"/>
      <c r="AT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384" t="s">
        <v>4224</v>
      </c>
      <c r="C59" s="384"/>
      <c r="D59" s="384"/>
      <c r="E59" s="384"/>
      <c r="F59" s="384"/>
      <c r="G59" s="38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421" t="str">
        <f>基本設定シート!B11&amp;"年度 温室効果ガス排出量の削減目標"</f>
        <v>2026年度 温室効果ガス排出量の削減目標</v>
      </c>
      <c r="D61" s="421"/>
      <c r="E61" s="421"/>
      <c r="F61" s="421"/>
      <c r="G61" s="421"/>
      <c r="H61" s="421"/>
      <c r="I61" s="422"/>
      <c r="J61" s="417" t="str">
        <f>基本設定シート!B11-1&amp;"年度と比べて"</f>
        <v>2025年度と比べて</v>
      </c>
      <c r="K61" s="418"/>
      <c r="L61" s="418"/>
      <c r="M61" s="420"/>
      <c r="N61" s="420"/>
      <c r="O61" s="415" t="s">
        <v>4083</v>
      </c>
      <c r="P61" s="416"/>
      <c r="Q61" s="13"/>
      <c r="R61" s="62" t="s">
        <v>4084</v>
      </c>
      <c r="S61" s="419" t="str">
        <f>基本設定シート!B11-1&amp;"年度"</f>
        <v>2025年度</v>
      </c>
      <c r="T61" s="419"/>
      <c r="U61" s="400" t="str">
        <f>X29</f>
        <v/>
      </c>
      <c r="V61" s="401"/>
      <c r="W61" s="63" t="s">
        <v>29</v>
      </c>
      <c r="X61" s="13"/>
      <c r="Y61" s="62" t="s">
        <v>4085</v>
      </c>
      <c r="Z61" s="419" t="str">
        <f>基本設定シート!B11&amp;"年度"</f>
        <v>2026年度</v>
      </c>
      <c r="AA61" s="419"/>
      <c r="AB61" s="413" t="str">
        <f>IF(M61="","",ROUNDDOWN(U61*(100-M61)/100,1))</f>
        <v/>
      </c>
      <c r="AC61" s="414"/>
      <c r="AD61" s="63" t="s">
        <v>29</v>
      </c>
      <c r="AE61" s="13"/>
      <c r="AF61" s="20"/>
      <c r="AG61" s="20"/>
      <c r="AH61" s="20"/>
      <c r="AI61" s="20"/>
      <c r="AJ61" s="20"/>
      <c r="AK61" s="20"/>
      <c r="AL61" s="20"/>
      <c r="AR61" s="20"/>
      <c r="AS61" s="20"/>
      <c r="AT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BA64" s="20"/>
      <c r="BB64" s="20"/>
      <c r="BC64" s="20"/>
      <c r="BD64" s="20"/>
      <c r="BE64" s="20"/>
      <c r="BF64" s="20"/>
      <c r="BG64" s="20"/>
      <c r="BH64" s="20"/>
      <c r="BI64" s="20"/>
      <c r="BJ64" s="20"/>
      <c r="BK64" s="20"/>
      <c r="BL64" s="20"/>
      <c r="BM64" s="20"/>
      <c r="BN64" s="20"/>
      <c r="BO64" s="20"/>
      <c r="BP64" s="20"/>
      <c r="BQ64" s="20"/>
    </row>
    <row r="65" spans="1:85" ht="30" customHeight="1">
      <c r="A65" s="13"/>
      <c r="B65" s="390" t="s">
        <v>4095</v>
      </c>
      <c r="C65" s="390"/>
      <c r="D65" s="390"/>
      <c r="E65" s="390"/>
      <c r="F65" s="390"/>
      <c r="G65" s="390"/>
      <c r="H65" s="390"/>
      <c r="I65" s="390"/>
      <c r="J65" s="390"/>
      <c r="K65" s="390"/>
      <c r="L65" s="390"/>
      <c r="M65" s="390"/>
      <c r="N65" s="390" t="s">
        <v>4283</v>
      </c>
      <c r="O65" s="390"/>
      <c r="P65" s="390"/>
      <c r="Q65" s="390"/>
      <c r="R65" s="390"/>
      <c r="S65" s="390"/>
      <c r="T65" s="390"/>
      <c r="U65" s="390" t="s">
        <v>4284</v>
      </c>
      <c r="V65" s="390"/>
      <c r="W65" s="390"/>
      <c r="X65" s="390"/>
      <c r="Y65" s="390"/>
      <c r="Z65" s="390"/>
      <c r="AA65" s="390"/>
      <c r="AB65" s="390"/>
      <c r="AC65" s="390"/>
      <c r="AD65" s="390"/>
      <c r="AE65" s="13"/>
      <c r="AF65" s="20"/>
      <c r="AG65" s="20"/>
      <c r="AH65" s="20"/>
      <c r="AI65" s="20"/>
      <c r="AJ65" s="20"/>
      <c r="AK65" s="20"/>
      <c r="AL65" s="20"/>
      <c r="AM65" s="20"/>
      <c r="AN65" s="20"/>
      <c r="AO65" s="20"/>
      <c r="AP65" s="20"/>
      <c r="AQ65" s="20"/>
      <c r="AR65" s="20"/>
      <c r="AS65" s="20"/>
      <c r="AT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395" t="s">
        <v>4286</v>
      </c>
      <c r="D67" s="395"/>
      <c r="E67" s="395"/>
      <c r="F67" s="395"/>
      <c r="G67" s="395"/>
      <c r="H67" s="395"/>
      <c r="I67" s="13"/>
      <c r="J67" s="13"/>
      <c r="K67" s="13"/>
      <c r="L67" s="13"/>
      <c r="M67" s="44"/>
      <c r="N67" s="136"/>
      <c r="O67" s="13"/>
      <c r="P67" s="13"/>
      <c r="Q67" s="13"/>
      <c r="R67" s="13"/>
      <c r="S67" s="13"/>
      <c r="T67" s="137" t="s">
        <v>4287</v>
      </c>
      <c r="U67" s="136"/>
      <c r="V67" s="13"/>
      <c r="W67" s="13"/>
      <c r="X67" s="13"/>
      <c r="Y67" s="13"/>
      <c r="Z67" s="13"/>
      <c r="AA67" s="13"/>
      <c r="AB67" s="13"/>
      <c r="AC67" s="13"/>
      <c r="AD67" s="137"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383"/>
      <c r="AJ70" s="383"/>
      <c r="AK70" s="383"/>
      <c r="AL70" s="383" t="s">
        <v>4108</v>
      </c>
      <c r="AM70" s="383"/>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398" t="str">
        <f t="shared" ref="AI71:AI76" si="44">E23</f>
        <v>ガソリン</v>
      </c>
      <c r="AJ71" s="398"/>
      <c r="AK71" s="398"/>
      <c r="AL71" s="399" t="e">
        <f t="shared" ref="AL71:AL76" si="45">IF(OR(BI23="",BI23=0),NA(),BI23)</f>
        <v>#N/A</v>
      </c>
      <c r="AM71" s="399"/>
      <c r="AN71" s="20"/>
      <c r="AO71" s="20"/>
      <c r="AP71" s="20"/>
      <c r="AQ71" s="20"/>
      <c r="AR71" s="20"/>
      <c r="AS71" s="20"/>
      <c r="AT71" s="20"/>
      <c r="AU71" s="48"/>
      <c r="AV71" s="48"/>
      <c r="AW71" s="48"/>
      <c r="AX71" s="48"/>
      <c r="AY71" s="48"/>
      <c r="AZ71" s="48"/>
      <c r="BA71" s="48"/>
      <c r="BB71" s="48"/>
      <c r="BC71" s="48"/>
      <c r="BD71" s="48"/>
      <c r="BE71" s="48"/>
      <c r="BF71" s="48"/>
      <c r="BG71" s="48"/>
      <c r="BH71" s="48"/>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398" t="str">
        <f t="shared" si="44"/>
        <v>軽油</v>
      </c>
      <c r="AJ72" s="398"/>
      <c r="AK72" s="398"/>
      <c r="AL72" s="399" t="e">
        <f t="shared" si="45"/>
        <v>#N/A</v>
      </c>
      <c r="AM72" s="399"/>
      <c r="AN72" s="20"/>
      <c r="AO72" s="20"/>
      <c r="AP72" s="20"/>
      <c r="AQ72" s="20"/>
      <c r="AR72" s="20"/>
      <c r="AS72" s="20"/>
      <c r="AT72" s="20"/>
      <c r="AU72" s="48"/>
      <c r="AV72" s="49"/>
      <c r="AW72" s="49"/>
      <c r="AX72" s="49"/>
      <c r="AY72" s="49"/>
      <c r="AZ72" s="49"/>
      <c r="BA72" s="49"/>
      <c r="BB72" s="49"/>
      <c r="BC72" s="49"/>
      <c r="BD72" s="49"/>
      <c r="BE72" s="49"/>
      <c r="BF72" s="49"/>
      <c r="BG72" s="49"/>
      <c r="BH72" s="49"/>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398" t="str">
        <f t="shared" si="44"/>
        <v>液化石油ガス(LPG)</v>
      </c>
      <c r="AJ73" s="398"/>
      <c r="AK73" s="398"/>
      <c r="AL73" s="399" t="e">
        <f t="shared" si="45"/>
        <v>#N/A</v>
      </c>
      <c r="AM73" s="399"/>
      <c r="AN73" s="20"/>
      <c r="AO73" s="20"/>
      <c r="AP73" s="20"/>
      <c r="AQ73" s="20"/>
      <c r="AR73" s="20"/>
      <c r="AS73" s="20"/>
      <c r="AT73" s="20"/>
      <c r="AU73" s="48" t="str">
        <f>基本設定シート!$B$11-1&amp;"年度（使用量）"</f>
        <v>2025年度（使用量）</v>
      </c>
      <c r="AV73" s="49" t="str">
        <f t="shared" ref="AV73:BH73" si="46">IFERROR(INDEX(AV23:AV34,MATCH($AU$69,$AU$23:$AU$34,0)),"")</f>
        <v>リットル</v>
      </c>
      <c r="AW73" s="49">
        <f t="shared" si="46"/>
        <v>0</v>
      </c>
      <c r="AX73" s="49">
        <f t="shared" si="46"/>
        <v>0</v>
      </c>
      <c r="AY73" s="49">
        <f t="shared" si="46"/>
        <v>0</v>
      </c>
      <c r="AZ73" s="49">
        <f t="shared" si="46"/>
        <v>0</v>
      </c>
      <c r="BA73" s="49">
        <f t="shared" si="46"/>
        <v>0</v>
      </c>
      <c r="BB73" s="49">
        <f t="shared" si="46"/>
        <v>0</v>
      </c>
      <c r="BC73" s="49">
        <f t="shared" si="46"/>
        <v>0</v>
      </c>
      <c r="BD73" s="49">
        <f t="shared" si="46"/>
        <v>0</v>
      </c>
      <c r="BE73" s="49">
        <f t="shared" si="46"/>
        <v>0</v>
      </c>
      <c r="BF73" s="49">
        <f t="shared" si="46"/>
        <v>0</v>
      </c>
      <c r="BG73" s="49">
        <f t="shared" si="46"/>
        <v>0</v>
      </c>
      <c r="BH73" s="49">
        <f t="shared" si="46"/>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398" t="str">
        <f t="shared" si="44"/>
        <v>電気（充電）</v>
      </c>
      <c r="AJ74" s="398"/>
      <c r="AK74" s="398"/>
      <c r="AL74" s="399" t="e">
        <f t="shared" si="45"/>
        <v>#N/A</v>
      </c>
      <c r="AM74" s="399"/>
      <c r="AN74" s="20"/>
      <c r="AO74" s="20"/>
      <c r="AP74" s="20"/>
      <c r="AQ74" s="20"/>
      <c r="AR74" s="20"/>
      <c r="AS74" s="20"/>
      <c r="AT74" s="20"/>
      <c r="AU74" s="48" t="str">
        <f>基本設定シート!$B$11-1&amp;"年度（料金）"</f>
        <v>2025年度（料金）</v>
      </c>
      <c r="AV74" s="49" t="str">
        <f>IFERROR(INDEX(BS23:BS34,MATCH($AU$69,$AU$23:$AU$34,0)),"")</f>
        <v>円</v>
      </c>
      <c r="AW74" s="49" t="e">
        <f t="shared" ref="AW74:BH74" si="47">IF(INDEX(BT23:BT34,MATCH($AU$69,$AU$23:$AU$34,0))="",NA(),INDEX(BT23:BT34,MATCH($AU$69,$AU$23:$AU$34,0)))</f>
        <v>#N/A</v>
      </c>
      <c r="AX74" s="49" t="e">
        <f t="shared" si="47"/>
        <v>#N/A</v>
      </c>
      <c r="AY74" s="49" t="e">
        <f t="shared" si="47"/>
        <v>#N/A</v>
      </c>
      <c r="AZ74" s="49" t="e">
        <f t="shared" si="47"/>
        <v>#N/A</v>
      </c>
      <c r="BA74" s="49" t="e">
        <f t="shared" si="47"/>
        <v>#N/A</v>
      </c>
      <c r="BB74" s="49" t="e">
        <f t="shared" si="47"/>
        <v>#N/A</v>
      </c>
      <c r="BC74" s="49" t="e">
        <f t="shared" si="47"/>
        <v>#N/A</v>
      </c>
      <c r="BD74" s="49" t="e">
        <f t="shared" si="47"/>
        <v>#N/A</v>
      </c>
      <c r="BE74" s="49" t="e">
        <f t="shared" si="47"/>
        <v>#N/A</v>
      </c>
      <c r="BF74" s="49" t="e">
        <f t="shared" si="47"/>
        <v>#N/A</v>
      </c>
      <c r="BG74" s="49" t="e">
        <f t="shared" si="47"/>
        <v>#N/A</v>
      </c>
      <c r="BH74" s="49" t="e">
        <f t="shared" si="47"/>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398" t="str">
        <f t="shared" si="44"/>
        <v>水素</v>
      </c>
      <c r="AJ75" s="398"/>
      <c r="AK75" s="398"/>
      <c r="AL75" s="399" t="e">
        <f t="shared" si="45"/>
        <v>#N/A</v>
      </c>
      <c r="AM75" s="399"/>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398" t="str">
        <f t="shared" si="44"/>
        <v>上記以外のエネルギー（選択）</v>
      </c>
      <c r="AJ76" s="398"/>
      <c r="AK76" s="398"/>
      <c r="AL76" s="399" t="e">
        <f t="shared" si="45"/>
        <v>#N/A</v>
      </c>
      <c r="AM76" s="399"/>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397"/>
      <c r="AJ77" s="397"/>
      <c r="AK77" s="397"/>
      <c r="AL77" s="396"/>
      <c r="AM77" s="396"/>
      <c r="AN77" s="20"/>
      <c r="AO77" s="20"/>
      <c r="AP77" s="20"/>
      <c r="AQ77" s="20"/>
      <c r="AR77" s="20"/>
      <c r="AS77" s="20"/>
      <c r="AT77" s="20"/>
      <c r="AU77" s="24"/>
      <c r="AV77" s="383" t="str">
        <f>基本設定シート!$B$11-1&amp;"年度"</f>
        <v>2025年度</v>
      </c>
      <c r="AW77" s="383"/>
      <c r="AX77" s="383" t="str">
        <f>基本設定シート!$B$11&amp;"年度"</f>
        <v>2026年度</v>
      </c>
      <c r="AY77" s="383"/>
      <c r="AZ77" s="383" t="str">
        <f>基本設定シート!$B$11+1&amp;"年度"</f>
        <v>2027年度</v>
      </c>
      <c r="BA77" s="383"/>
      <c r="BB77" s="383" t="str">
        <f>IF(基本設定シート!$B$11=基本設定シート!$C$8,"",基本設定シート!$B$11+2&amp;"年度")</f>
        <v>2028年度</v>
      </c>
      <c r="BC77" s="383"/>
      <c r="BD77" s="383" t="str">
        <f>IF(OR(基本設定シート!$B$11=基本設定シート!$C$7,基本設定シート!$B$11=基本設定シート!$C$8),"",基本設定シート!$B$11+3&amp;"年度")</f>
        <v>2029年度</v>
      </c>
      <c r="BE77" s="383"/>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397"/>
      <c r="AJ78" s="397"/>
      <c r="AK78" s="397"/>
      <c r="AL78" s="396"/>
      <c r="AM78" s="396"/>
      <c r="AN78" s="20"/>
      <c r="AO78" s="20"/>
      <c r="AP78" s="20"/>
      <c r="AQ78" s="20"/>
      <c r="AR78" s="20"/>
      <c r="AS78" s="20"/>
      <c r="AT78" s="20"/>
      <c r="AU78" s="48" t="str">
        <f>E23</f>
        <v>ガソリン</v>
      </c>
      <c r="AV78" s="382" t="str">
        <f t="shared" ref="AV78:AV83" si="48">BK23</f>
        <v/>
      </c>
      <c r="AW78" s="383"/>
      <c r="AX78" s="383"/>
      <c r="AY78" s="383"/>
      <c r="AZ78" s="383"/>
      <c r="BA78" s="383"/>
      <c r="BB78" s="383"/>
      <c r="BC78" s="383"/>
      <c r="BD78" s="383"/>
      <c r="BE78" s="383"/>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397"/>
      <c r="AJ79" s="397"/>
      <c r="AK79" s="397"/>
      <c r="AL79" s="396"/>
      <c r="AM79" s="396"/>
      <c r="AN79" s="20"/>
      <c r="AO79" s="20"/>
      <c r="AP79" s="20"/>
      <c r="AQ79" s="20"/>
      <c r="AR79" s="20"/>
      <c r="AS79" s="20"/>
      <c r="AT79" s="20"/>
      <c r="AU79" s="48" t="str">
        <f>E24</f>
        <v>軽油</v>
      </c>
      <c r="AV79" s="382" t="str">
        <f t="shared" si="48"/>
        <v/>
      </c>
      <c r="AW79" s="383"/>
      <c r="AX79" s="383"/>
      <c r="AY79" s="383"/>
      <c r="AZ79" s="383"/>
      <c r="BA79" s="383"/>
      <c r="BB79" s="383"/>
      <c r="BC79" s="383"/>
      <c r="BD79" s="383"/>
      <c r="BE79" s="383"/>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382" t="str">
        <f t="shared" si="48"/>
        <v/>
      </c>
      <c r="AW80" s="383"/>
      <c r="AX80" s="383"/>
      <c r="AY80" s="383"/>
      <c r="AZ80" s="383"/>
      <c r="BA80" s="383"/>
      <c r="BB80" s="383"/>
      <c r="BC80" s="383"/>
      <c r="BD80" s="383"/>
      <c r="BE80" s="383"/>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382" t="str">
        <f t="shared" si="48"/>
        <v/>
      </c>
      <c r="AW81" s="383"/>
      <c r="AX81" s="383"/>
      <c r="AY81" s="383"/>
      <c r="AZ81" s="383"/>
      <c r="BA81" s="383"/>
      <c r="BB81" s="383"/>
      <c r="BC81" s="383"/>
      <c r="BD81" s="383"/>
      <c r="BE81" s="383"/>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"◆省エネの取り組みの実施状況（"&amp;基本設定シート!B11-1&amp;"年度の状況）と実施計画"</f>
        <v>◆省エネの取り組みの実施状況（2025年度の状況）と実施計画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382" t="str">
        <f t="shared" si="48"/>
        <v/>
      </c>
      <c r="AW82" s="383"/>
      <c r="AX82" s="383"/>
      <c r="AY82" s="383"/>
      <c r="AZ82" s="383"/>
      <c r="BA82" s="383"/>
      <c r="BB82" s="383"/>
      <c r="BC82" s="383"/>
      <c r="BD82" s="383"/>
      <c r="BE82" s="383"/>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382" t="str">
        <f t="shared" si="48"/>
        <v/>
      </c>
      <c r="AW83" s="383"/>
      <c r="AX83" s="383"/>
      <c r="AY83" s="383"/>
      <c r="AZ83" s="383"/>
      <c r="BA83" s="383"/>
      <c r="BB83" s="383"/>
      <c r="BC83" s="383"/>
      <c r="BD83" s="383"/>
      <c r="BE83" s="383"/>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472" t="s">
        <v>4089</v>
      </c>
      <c r="D84" s="474"/>
      <c r="E84" s="472" t="s">
        <v>4090</v>
      </c>
      <c r="F84" s="473"/>
      <c r="G84" s="473"/>
      <c r="H84" s="473"/>
      <c r="I84" s="473"/>
      <c r="J84" s="473"/>
      <c r="K84" s="473"/>
      <c r="L84" s="473"/>
      <c r="M84" s="474"/>
      <c r="N84" s="471" t="s">
        <v>4092</v>
      </c>
      <c r="O84" s="471"/>
      <c r="P84" s="471"/>
      <c r="Q84" s="471"/>
      <c r="R84" s="471"/>
      <c r="S84" s="471"/>
      <c r="T84" s="471"/>
      <c r="U84" s="471"/>
      <c r="V84" s="471"/>
      <c r="W84" s="471"/>
      <c r="X84" s="471"/>
      <c r="Y84" s="471"/>
      <c r="Z84" s="471"/>
      <c r="AA84" s="13"/>
      <c r="AB84" s="13"/>
      <c r="AC84" s="13"/>
      <c r="AD84" s="13"/>
      <c r="AE84" s="13"/>
      <c r="AF84" s="20"/>
      <c r="AG84" s="20"/>
      <c r="AH84" s="20"/>
      <c r="AI84" s="20"/>
      <c r="AJ84" s="20"/>
      <c r="AK84" s="20"/>
      <c r="AL84" s="71" t="s">
        <v>4097</v>
      </c>
      <c r="AM84" s="20"/>
      <c r="AN84" s="20"/>
      <c r="AO84" s="20"/>
      <c r="AP84" s="20"/>
      <c r="AQ84" s="20"/>
      <c r="AR84" s="20"/>
      <c r="AS84" s="20"/>
      <c r="AT84" s="20"/>
      <c r="AU84" s="48"/>
      <c r="AV84" s="382"/>
      <c r="AW84" s="383"/>
      <c r="AX84" s="383"/>
      <c r="AY84" s="383"/>
      <c r="AZ84" s="383"/>
      <c r="BA84" s="383"/>
      <c r="BB84" s="383"/>
      <c r="BC84" s="383"/>
      <c r="BD84" s="383"/>
      <c r="BE84" s="383"/>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513">
        <v>1</v>
      </c>
      <c r="D85" s="514"/>
      <c r="E85" s="475" t="str">
        <f>取組リスト!B3</f>
        <v>省エネ・地球温暖化対策に関する社内研修等の実施</v>
      </c>
      <c r="F85" s="476"/>
      <c r="G85" s="476"/>
      <c r="H85" s="476"/>
      <c r="I85" s="476"/>
      <c r="J85" s="476"/>
      <c r="K85" s="476"/>
      <c r="L85" s="476"/>
      <c r="M85" s="477"/>
      <c r="N85" s="27"/>
      <c r="O85" s="47" t="s">
        <v>4093</v>
      </c>
      <c r="P85" s="47"/>
      <c r="Q85" s="47"/>
      <c r="R85" s="47" t="s">
        <v>4227</v>
      </c>
      <c r="S85" s="47"/>
      <c r="T85" s="47"/>
      <c r="U85" s="47" t="s">
        <v>4094</v>
      </c>
      <c r="V85" s="47"/>
      <c r="W85" s="47"/>
      <c r="X85" s="47"/>
      <c r="Y85" s="47"/>
      <c r="Z85" s="28"/>
      <c r="AA85" s="13"/>
      <c r="AB85" s="13"/>
      <c r="AC85" s="13"/>
      <c r="AD85" s="13"/>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382"/>
      <c r="AW85" s="383"/>
      <c r="AX85" s="383"/>
      <c r="AY85" s="383"/>
      <c r="AZ85" s="383"/>
      <c r="BA85" s="383"/>
      <c r="BB85" s="383"/>
      <c r="BC85" s="383"/>
      <c r="BD85" s="383"/>
      <c r="BE85" s="383"/>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513">
        <f>C85+1</f>
        <v>2</v>
      </c>
      <c r="D86" s="514"/>
      <c r="E86" s="475" t="str">
        <f>取組リスト!B4</f>
        <v>車両毎の燃料使用量や走行距離の把握・記録・社内共有</v>
      </c>
      <c r="F86" s="476"/>
      <c r="G86" s="476"/>
      <c r="H86" s="476"/>
      <c r="I86" s="476"/>
      <c r="J86" s="476"/>
      <c r="K86" s="476"/>
      <c r="L86" s="476"/>
      <c r="M86" s="477"/>
      <c r="N86" s="27"/>
      <c r="O86" s="47" t="s">
        <v>4093</v>
      </c>
      <c r="P86" s="47"/>
      <c r="Q86" s="47"/>
      <c r="R86" s="47" t="s">
        <v>4227</v>
      </c>
      <c r="S86" s="47"/>
      <c r="T86" s="47"/>
      <c r="U86" s="47" t="s">
        <v>4094</v>
      </c>
      <c r="V86" s="47"/>
      <c r="W86" s="47"/>
      <c r="X86" s="47"/>
      <c r="Y86" s="47"/>
      <c r="Z86" s="28"/>
      <c r="AA86" s="13"/>
      <c r="AB86" s="13"/>
      <c r="AC86" s="13"/>
      <c r="AD86" s="13"/>
      <c r="AE86" s="13"/>
      <c r="AF86" s="20"/>
      <c r="AG86" s="7"/>
      <c r="AH86" s="69" t="str">
        <f t="shared" ref="AH86:AH99" si="49">IF(AG86=1,O86,IF(AG86=2,R86,IF(AG86=3,U86,"未選択")))</f>
        <v>未選択</v>
      </c>
      <c r="AI86" s="70"/>
      <c r="AJ86" s="26"/>
      <c r="AK86" s="20"/>
      <c r="AL86" s="42" t="str">
        <f>基本設定シート!$B$11-1&amp;"年度"</f>
        <v>2025年度</v>
      </c>
      <c r="AM86" s="42">
        <f>COUNTIF($AG$85:$AG$100,1)</f>
        <v>0</v>
      </c>
      <c r="AN86" s="42">
        <f>COUNTIF($AG$85:$AG$100,2)</f>
        <v>0</v>
      </c>
      <c r="AO86" s="42">
        <f>COUNTIF($AG$85:$AG$100,3)</f>
        <v>0</v>
      </c>
      <c r="AP86" s="42">
        <f>COUNTIF($AG$85:$AG$100,4)</f>
        <v>0</v>
      </c>
      <c r="AQ86" s="42">
        <f>C100-AP86</f>
        <v>16</v>
      </c>
      <c r="AR86" s="72">
        <f>AM86/AQ86</f>
        <v>0</v>
      </c>
      <c r="AS86" s="72">
        <f>(AM86+AN86)/AQ86</f>
        <v>0</v>
      </c>
      <c r="AT86" s="20"/>
      <c r="AU86" s="24" t="s">
        <v>4119</v>
      </c>
      <c r="AV86" s="383"/>
      <c r="AW86" s="383"/>
      <c r="AX86" s="391" t="e">
        <f>IF(AB61="",NA(),AB61)</f>
        <v>#N/A</v>
      </c>
      <c r="AY86" s="383"/>
      <c r="AZ86" s="383"/>
      <c r="BA86" s="383"/>
      <c r="BB86" s="383"/>
      <c r="BC86" s="383"/>
      <c r="BD86" s="383"/>
      <c r="BE86" s="383"/>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513">
        <f t="shared" ref="C87:C105" si="50">C86+1</f>
        <v>3</v>
      </c>
      <c r="D87" s="514"/>
      <c r="E87" s="475" t="str">
        <f>取組リスト!B5</f>
        <v>エコドライブ推進に関する責任者の設置・エコドライブ推進体制の整備</v>
      </c>
      <c r="F87" s="476"/>
      <c r="G87" s="476"/>
      <c r="H87" s="476"/>
      <c r="I87" s="476"/>
      <c r="J87" s="476"/>
      <c r="K87" s="476"/>
      <c r="L87" s="476"/>
      <c r="M87" s="477"/>
      <c r="N87" s="27"/>
      <c r="O87" s="47" t="s">
        <v>4093</v>
      </c>
      <c r="P87" s="47"/>
      <c r="Q87" s="47"/>
      <c r="R87" s="47" t="s">
        <v>4227</v>
      </c>
      <c r="S87" s="47"/>
      <c r="T87" s="47"/>
      <c r="U87" s="47" t="s">
        <v>4094</v>
      </c>
      <c r="V87" s="47"/>
      <c r="W87" s="47"/>
      <c r="X87" s="47"/>
      <c r="Y87" s="47"/>
      <c r="Z87" s="28"/>
      <c r="AA87" s="13"/>
      <c r="AB87" s="13"/>
      <c r="AC87" s="13"/>
      <c r="AD87" s="13"/>
      <c r="AE87" s="13"/>
      <c r="AF87" s="20"/>
      <c r="AG87" s="7"/>
      <c r="AH87" s="69" t="str">
        <f t="shared" si="49"/>
        <v>未選択</v>
      </c>
      <c r="AI87" s="70"/>
      <c r="AJ87" s="26"/>
      <c r="AK87" s="20"/>
      <c r="AL87" s="42" t="str">
        <f>基本設定シート!$B$11&amp;"年度"</f>
        <v>2026年度</v>
      </c>
      <c r="AM87" s="42"/>
      <c r="AN87" s="42"/>
      <c r="AO87" s="42"/>
      <c r="AP87" s="42"/>
      <c r="AQ87" s="42"/>
      <c r="AR87" s="42"/>
      <c r="AS87" s="24"/>
      <c r="AT87" s="20"/>
      <c r="AU87" s="24" t="s">
        <v>23</v>
      </c>
      <c r="AV87" s="382">
        <f>SUM(AV78:AW85)</f>
        <v>0</v>
      </c>
      <c r="AW87" s="383"/>
      <c r="AX87" s="382"/>
      <c r="AY87" s="383"/>
      <c r="AZ87" s="382"/>
      <c r="BA87" s="383"/>
      <c r="BB87" s="382"/>
      <c r="BC87" s="383"/>
      <c r="BD87" s="382"/>
      <c r="BE87" s="383"/>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513">
        <f t="shared" si="50"/>
        <v>4</v>
      </c>
      <c r="D88" s="514"/>
      <c r="E88" s="475" t="str">
        <f>取組リスト!B6</f>
        <v>運転する全社員に対するエコドライブに関する研修・教育の実施</v>
      </c>
      <c r="F88" s="476"/>
      <c r="G88" s="476"/>
      <c r="H88" s="476"/>
      <c r="I88" s="476"/>
      <c r="J88" s="476"/>
      <c r="K88" s="476"/>
      <c r="L88" s="476"/>
      <c r="M88" s="477"/>
      <c r="N88" s="27"/>
      <c r="O88" s="47" t="s">
        <v>4093</v>
      </c>
      <c r="P88" s="47"/>
      <c r="Q88" s="47"/>
      <c r="R88" s="47" t="s">
        <v>4227</v>
      </c>
      <c r="S88" s="47"/>
      <c r="T88" s="47"/>
      <c r="U88" s="47" t="s">
        <v>4094</v>
      </c>
      <c r="V88" s="47"/>
      <c r="W88" s="47"/>
      <c r="X88" s="13"/>
      <c r="Y88" s="47"/>
      <c r="Z88" s="28"/>
      <c r="AA88" s="13"/>
      <c r="AB88" s="13"/>
      <c r="AC88" s="13"/>
      <c r="AD88" s="13"/>
      <c r="AE88" s="13"/>
      <c r="AF88" s="20"/>
      <c r="AG88" s="7"/>
      <c r="AH88" s="69" t="str">
        <f t="shared" si="49"/>
        <v>未選択</v>
      </c>
      <c r="AI88" s="70"/>
      <c r="AJ88" s="26"/>
      <c r="AK88" s="20"/>
      <c r="AL88" s="42" t="str">
        <f>IF(基本設定シート!$B$11=基本設定シート!$C$8,"",基本設定シート!$B$11+1&amp;"年度")</f>
        <v>2027年度</v>
      </c>
      <c r="AM88" s="42"/>
      <c r="AN88" s="42"/>
      <c r="AO88" s="42"/>
      <c r="AP88" s="42"/>
      <c r="AQ88" s="42"/>
      <c r="AR88" s="42"/>
      <c r="AS88" s="24"/>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513">
        <f t="shared" si="50"/>
        <v>5</v>
      </c>
      <c r="D89" s="514"/>
      <c r="E89" s="475" t="str">
        <f>取組リスト!B7</f>
        <v>チェックシート等を活用したエコドライブの実践</v>
      </c>
      <c r="F89" s="476"/>
      <c r="G89" s="476"/>
      <c r="H89" s="476"/>
      <c r="I89" s="476"/>
      <c r="J89" s="476"/>
      <c r="K89" s="476"/>
      <c r="L89" s="476"/>
      <c r="M89" s="477"/>
      <c r="N89" s="27"/>
      <c r="O89" s="47" t="s">
        <v>4093</v>
      </c>
      <c r="P89" s="47"/>
      <c r="Q89" s="47"/>
      <c r="R89" s="47" t="s">
        <v>4227</v>
      </c>
      <c r="S89" s="47"/>
      <c r="T89" s="47"/>
      <c r="U89" s="47" t="s">
        <v>4094</v>
      </c>
      <c r="V89" s="47"/>
      <c r="W89" s="47"/>
      <c r="X89" s="47"/>
      <c r="Y89" s="47"/>
      <c r="Z89" s="28"/>
      <c r="AA89" s="13"/>
      <c r="AB89" s="13"/>
      <c r="AC89" s="13"/>
      <c r="AD89" s="13"/>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513">
        <f t="shared" si="50"/>
        <v>6</v>
      </c>
      <c r="D90" s="514"/>
      <c r="E90" s="475" t="str">
        <f>取組リスト!B8</f>
        <v>優良エコドライバーへの表彰等</v>
      </c>
      <c r="F90" s="476"/>
      <c r="G90" s="476"/>
      <c r="H90" s="476"/>
      <c r="I90" s="476"/>
      <c r="J90" s="476"/>
      <c r="K90" s="476"/>
      <c r="L90" s="476"/>
      <c r="M90" s="477"/>
      <c r="N90" s="27"/>
      <c r="O90" s="47" t="s">
        <v>4093</v>
      </c>
      <c r="P90" s="47"/>
      <c r="Q90" s="47"/>
      <c r="R90" s="47" t="s">
        <v>4227</v>
      </c>
      <c r="S90" s="47"/>
      <c r="T90" s="47"/>
      <c r="U90" s="47" t="s">
        <v>4094</v>
      </c>
      <c r="V90" s="47"/>
      <c r="W90" s="47"/>
      <c r="X90" s="47"/>
      <c r="Y90" s="47"/>
      <c r="Z90" s="28"/>
      <c r="AA90" s="13"/>
      <c r="AB90" s="13"/>
      <c r="AC90" s="13"/>
      <c r="AD90" s="13"/>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513">
        <f t="shared" si="50"/>
        <v>7</v>
      </c>
      <c r="D91" s="514"/>
      <c r="E91" s="475" t="str">
        <f>取組リスト!B9</f>
        <v>輸送や配車効率の向上に資する情報システム（車両動態システム等）の導入</v>
      </c>
      <c r="F91" s="476"/>
      <c r="G91" s="476"/>
      <c r="H91" s="476"/>
      <c r="I91" s="476"/>
      <c r="J91" s="476"/>
      <c r="K91" s="476"/>
      <c r="L91" s="476"/>
      <c r="M91" s="477"/>
      <c r="N91" s="27"/>
      <c r="O91" s="47" t="s">
        <v>4093</v>
      </c>
      <c r="P91" s="47"/>
      <c r="Q91" s="47"/>
      <c r="R91" s="47" t="s">
        <v>4227</v>
      </c>
      <c r="S91" s="47"/>
      <c r="T91" s="47"/>
      <c r="U91" s="47" t="s">
        <v>4094</v>
      </c>
      <c r="V91" s="47"/>
      <c r="W91" s="47"/>
      <c r="X91" s="47"/>
      <c r="Y91" s="47"/>
      <c r="Z91" s="28"/>
      <c r="AA91" s="13"/>
      <c r="AB91" s="13"/>
      <c r="AC91" s="13"/>
      <c r="AD91" s="13"/>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513">
        <f t="shared" si="50"/>
        <v>8</v>
      </c>
      <c r="D92" s="514"/>
      <c r="E92" s="475" t="str">
        <f>取組リスト!B10</f>
        <v>日常及び定期的な保守・点検・修理の実施・記録</v>
      </c>
      <c r="F92" s="476"/>
      <c r="G92" s="476"/>
      <c r="H92" s="476"/>
      <c r="I92" s="476"/>
      <c r="J92" s="476"/>
      <c r="K92" s="476"/>
      <c r="L92" s="476"/>
      <c r="M92" s="477"/>
      <c r="N92" s="27"/>
      <c r="O92" s="47" t="s">
        <v>4093</v>
      </c>
      <c r="P92" s="47"/>
      <c r="Q92" s="47"/>
      <c r="R92" s="47" t="s">
        <v>4227</v>
      </c>
      <c r="S92" s="47"/>
      <c r="T92" s="47"/>
      <c r="U92" s="47" t="s">
        <v>4094</v>
      </c>
      <c r="V92" s="47"/>
      <c r="W92" s="47"/>
      <c r="X92" s="47"/>
      <c r="Y92" s="47"/>
      <c r="Z92" s="28"/>
      <c r="AA92" s="13"/>
      <c r="AB92" s="13"/>
      <c r="AC92" s="13"/>
      <c r="AD92" s="13"/>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513">
        <f t="shared" si="50"/>
        <v>9</v>
      </c>
      <c r="D93" s="514"/>
      <c r="E93" s="475" t="str">
        <f>取組リスト!B11</f>
        <v>目的地までの効率的なルート選定</v>
      </c>
      <c r="F93" s="476"/>
      <c r="G93" s="476"/>
      <c r="H93" s="476"/>
      <c r="I93" s="476"/>
      <c r="J93" s="476"/>
      <c r="K93" s="476"/>
      <c r="L93" s="476"/>
      <c r="M93" s="477"/>
      <c r="N93" s="27"/>
      <c r="O93" s="47" t="s">
        <v>4093</v>
      </c>
      <c r="P93" s="47"/>
      <c r="Q93" s="47"/>
      <c r="R93" s="47" t="s">
        <v>4227</v>
      </c>
      <c r="S93" s="47"/>
      <c r="T93" s="47"/>
      <c r="U93" s="47" t="s">
        <v>4094</v>
      </c>
      <c r="V93" s="47"/>
      <c r="W93" s="47"/>
      <c r="X93" s="47"/>
      <c r="Y93" s="47"/>
      <c r="Z93" s="28"/>
      <c r="AA93" s="13"/>
      <c r="AB93" s="13"/>
      <c r="AC93" s="13"/>
      <c r="AD93" s="13"/>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513">
        <f t="shared" si="50"/>
        <v>10</v>
      </c>
      <c r="D94" s="514"/>
      <c r="E94" s="475" t="str">
        <f>取組リスト!B12</f>
        <v>目的や輸送量に応じた車両を使用するなどの適切な車両管理</v>
      </c>
      <c r="F94" s="476"/>
      <c r="G94" s="476"/>
      <c r="H94" s="476"/>
      <c r="I94" s="476"/>
      <c r="J94" s="476"/>
      <c r="K94" s="476"/>
      <c r="L94" s="476"/>
      <c r="M94" s="477"/>
      <c r="N94" s="27"/>
      <c r="O94" s="47" t="s">
        <v>4093</v>
      </c>
      <c r="P94" s="47"/>
      <c r="Q94" s="47"/>
      <c r="R94" s="47" t="s">
        <v>4227</v>
      </c>
      <c r="S94" s="47"/>
      <c r="T94" s="47"/>
      <c r="U94" s="47" t="s">
        <v>4094</v>
      </c>
      <c r="V94" s="47"/>
      <c r="W94" s="47"/>
      <c r="X94" s="47"/>
      <c r="Y94" s="47"/>
      <c r="Z94" s="28"/>
      <c r="AA94" s="13"/>
      <c r="AB94" s="13"/>
      <c r="AC94" s="13"/>
      <c r="AD94" s="13"/>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513">
        <f t="shared" si="50"/>
        <v>11</v>
      </c>
      <c r="D95" s="514"/>
      <c r="E95" s="475" t="str">
        <f>取組リスト!B13</f>
        <v>燃費が向上する装置等の計画的な導入（アイドリングストップ装置や低燃費タイヤ等）</v>
      </c>
      <c r="F95" s="476"/>
      <c r="G95" s="476"/>
      <c r="H95" s="476"/>
      <c r="I95" s="476"/>
      <c r="J95" s="476"/>
      <c r="K95" s="476"/>
      <c r="L95" s="476"/>
      <c r="M95" s="477"/>
      <c r="N95" s="27"/>
      <c r="O95" s="47" t="s">
        <v>4093</v>
      </c>
      <c r="P95" s="47"/>
      <c r="Q95" s="47"/>
      <c r="R95" s="47" t="s">
        <v>4227</v>
      </c>
      <c r="S95" s="47"/>
      <c r="T95" s="47"/>
      <c r="U95" s="47" t="s">
        <v>4094</v>
      </c>
      <c r="V95" s="47"/>
      <c r="W95" s="47"/>
      <c r="X95" s="47"/>
      <c r="Y95" s="47"/>
      <c r="Z95" s="28"/>
      <c r="AA95" s="13"/>
      <c r="AB95" s="13"/>
      <c r="AC95" s="13"/>
      <c r="AD95" s="13"/>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513">
        <f t="shared" si="50"/>
        <v>12</v>
      </c>
      <c r="D96" s="514"/>
      <c r="E96" s="475" t="str">
        <f>取組リスト!B14</f>
        <v>次世代自動車の導入（電気自動車、低炭素ディーゼル自動車、ハイブリッド自動車等）</v>
      </c>
      <c r="F96" s="476"/>
      <c r="G96" s="476"/>
      <c r="H96" s="476"/>
      <c r="I96" s="476"/>
      <c r="J96" s="476"/>
      <c r="K96" s="476"/>
      <c r="L96" s="476"/>
      <c r="M96" s="477"/>
      <c r="N96" s="27"/>
      <c r="O96" s="47" t="s">
        <v>4093</v>
      </c>
      <c r="P96" s="47"/>
      <c r="Q96" s="47"/>
      <c r="R96" s="47" t="s">
        <v>4227</v>
      </c>
      <c r="S96" s="47"/>
      <c r="T96" s="47"/>
      <c r="U96" s="47" t="s">
        <v>4094</v>
      </c>
      <c r="V96" s="47"/>
      <c r="W96" s="47"/>
      <c r="X96" s="47"/>
      <c r="Y96" s="47"/>
      <c r="Z96" s="28"/>
      <c r="AA96" s="13"/>
      <c r="AB96" s="13"/>
      <c r="AC96" s="13"/>
      <c r="AD96" s="13"/>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513">
        <f t="shared" si="50"/>
        <v>13</v>
      </c>
      <c r="D97" s="514"/>
      <c r="E97" s="475" t="str">
        <f>取組リスト!B15</f>
        <v>事業所内における空調設定温度のルール化</v>
      </c>
      <c r="F97" s="476"/>
      <c r="G97" s="476"/>
      <c r="H97" s="476"/>
      <c r="I97" s="476"/>
      <c r="J97" s="476"/>
      <c r="K97" s="476"/>
      <c r="L97" s="476"/>
      <c r="M97" s="477"/>
      <c r="N97" s="27"/>
      <c r="O97" s="47" t="s">
        <v>4093</v>
      </c>
      <c r="P97" s="47"/>
      <c r="Q97" s="47"/>
      <c r="R97" s="47" t="s">
        <v>4227</v>
      </c>
      <c r="S97" s="47"/>
      <c r="T97" s="47"/>
      <c r="U97" s="47" t="s">
        <v>4094</v>
      </c>
      <c r="V97" s="47"/>
      <c r="W97" s="47"/>
      <c r="X97" s="47"/>
      <c r="Y97" s="47"/>
      <c r="Z97" s="28"/>
      <c r="AA97" s="13"/>
      <c r="AB97" s="13"/>
      <c r="AC97" s="13"/>
      <c r="AD97" s="13"/>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513">
        <f t="shared" si="50"/>
        <v>14</v>
      </c>
      <c r="D98" s="514"/>
      <c r="E98" s="475" t="str">
        <f>取組リスト!B16</f>
        <v>事業所内における照明点灯に関するルール化（休憩時間や不使用時の消灯等）</v>
      </c>
      <c r="F98" s="476"/>
      <c r="G98" s="476"/>
      <c r="H98" s="476"/>
      <c r="I98" s="476"/>
      <c r="J98" s="476"/>
      <c r="K98" s="476"/>
      <c r="L98" s="476"/>
      <c r="M98" s="477"/>
      <c r="N98" s="27"/>
      <c r="O98" s="47" t="s">
        <v>4093</v>
      </c>
      <c r="P98" s="47"/>
      <c r="Q98" s="47"/>
      <c r="R98" s="47" t="s">
        <v>4227</v>
      </c>
      <c r="S98" s="47"/>
      <c r="T98" s="47"/>
      <c r="U98" s="47" t="s">
        <v>4094</v>
      </c>
      <c r="V98" s="47"/>
      <c r="W98" s="47"/>
      <c r="X98" s="47"/>
      <c r="Y98" s="47"/>
      <c r="Z98" s="28"/>
      <c r="AA98" s="13"/>
      <c r="AB98" s="13"/>
      <c r="AC98" s="13"/>
      <c r="AD98" s="13"/>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513">
        <f t="shared" si="50"/>
        <v>15</v>
      </c>
      <c r="D99" s="514"/>
      <c r="E99" s="475" t="str">
        <f>取組リスト!B17</f>
        <v>省エネルギー設備（LED照明、空調、給湯器、冷蔵庫等）への更新</v>
      </c>
      <c r="F99" s="476"/>
      <c r="G99" s="476"/>
      <c r="H99" s="476"/>
      <c r="I99" s="476"/>
      <c r="J99" s="476"/>
      <c r="K99" s="476"/>
      <c r="L99" s="476"/>
      <c r="M99" s="477"/>
      <c r="N99" s="27"/>
      <c r="O99" s="47" t="s">
        <v>4105</v>
      </c>
      <c r="P99" s="47"/>
      <c r="Q99" s="47"/>
      <c r="R99" s="47" t="s">
        <v>4227</v>
      </c>
      <c r="S99" s="47"/>
      <c r="T99" s="47"/>
      <c r="U99" s="47" t="s">
        <v>4094</v>
      </c>
      <c r="V99" s="47"/>
      <c r="W99" s="47"/>
      <c r="X99" s="47"/>
      <c r="Y99" s="47"/>
      <c r="Z99" s="28"/>
      <c r="AA99" s="13"/>
      <c r="AB99" s="13"/>
      <c r="AC99" s="13"/>
      <c r="AD99" s="13"/>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513">
        <f t="shared" si="50"/>
        <v>16</v>
      </c>
      <c r="D100" s="514"/>
      <c r="E100" s="475" t="str">
        <f>取組リスト!B18</f>
        <v>再エネ設備（太陽光発電等）の導入や再エネ電力の調達</v>
      </c>
      <c r="F100" s="476"/>
      <c r="G100" s="476"/>
      <c r="H100" s="476"/>
      <c r="I100" s="476"/>
      <c r="J100" s="476"/>
      <c r="K100" s="476"/>
      <c r="L100" s="476"/>
      <c r="M100" s="477"/>
      <c r="N100" s="27"/>
      <c r="O100" s="47" t="s">
        <v>4093</v>
      </c>
      <c r="P100" s="47"/>
      <c r="Q100" s="47"/>
      <c r="R100" s="47" t="s">
        <v>4227</v>
      </c>
      <c r="S100" s="47"/>
      <c r="T100" s="47"/>
      <c r="U100" s="47" t="s">
        <v>4094</v>
      </c>
      <c r="V100" s="47"/>
      <c r="W100" s="47"/>
      <c r="X100" s="47"/>
      <c r="Y100" s="47"/>
      <c r="Z100" s="28"/>
      <c r="AA100" s="13"/>
      <c r="AB100" s="13"/>
      <c r="AC100" s="13"/>
      <c r="AD100" s="13"/>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513">
        <f t="shared" si="50"/>
        <v>17</v>
      </c>
      <c r="D101" s="514"/>
      <c r="E101" s="468" t="s">
        <v>4098</v>
      </c>
      <c r="F101" s="469"/>
      <c r="G101" s="469"/>
      <c r="H101" s="469"/>
      <c r="I101" s="469"/>
      <c r="J101" s="469"/>
      <c r="K101" s="469"/>
      <c r="L101" s="469"/>
      <c r="M101" s="470"/>
      <c r="N101" s="27"/>
      <c r="O101" s="47" t="s">
        <v>4093</v>
      </c>
      <c r="P101" s="47"/>
      <c r="Q101" s="47"/>
      <c r="R101" s="47" t="s">
        <v>4227</v>
      </c>
      <c r="S101" s="47"/>
      <c r="T101" s="47"/>
      <c r="U101" s="47"/>
      <c r="V101" s="47"/>
      <c r="W101" s="47"/>
      <c r="X101" s="47"/>
      <c r="Y101" s="47"/>
      <c r="Z101" s="28"/>
      <c r="AA101" s="13"/>
      <c r="AB101" s="13"/>
      <c r="AC101" s="13"/>
      <c r="AD101" s="13"/>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513">
        <f t="shared" si="50"/>
        <v>18</v>
      </c>
      <c r="D102" s="514"/>
      <c r="E102" s="468" t="s">
        <v>4098</v>
      </c>
      <c r="F102" s="469"/>
      <c r="G102" s="469"/>
      <c r="H102" s="469"/>
      <c r="I102" s="469"/>
      <c r="J102" s="469"/>
      <c r="K102" s="469"/>
      <c r="L102" s="469"/>
      <c r="M102" s="470"/>
      <c r="N102" s="27"/>
      <c r="O102" s="47" t="s">
        <v>4093</v>
      </c>
      <c r="P102" s="47"/>
      <c r="Q102" s="47"/>
      <c r="R102" s="47" t="s">
        <v>4227</v>
      </c>
      <c r="S102" s="47"/>
      <c r="T102" s="47"/>
      <c r="U102" s="47"/>
      <c r="V102" s="47"/>
      <c r="W102" s="47"/>
      <c r="X102" s="47"/>
      <c r="Y102" s="47"/>
      <c r="Z102" s="28"/>
      <c r="AA102" s="13"/>
      <c r="AB102" s="13"/>
      <c r="AC102" s="13"/>
      <c r="AD102" s="13"/>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COUNTIFS($AG$101:$AG$105,1,$AH$101:$AH$105,"&lt;&gt;項目設定なし")</f>
        <v>0</v>
      </c>
      <c r="AN102" s="42">
        <f>COUNTIFS($AG$101:$AG$105,2,$AH$101:$AH$105,"&lt;&gt;項目設定なし")</f>
        <v>0</v>
      </c>
      <c r="AO102" s="42" t="s">
        <v>27</v>
      </c>
      <c r="AP102" s="42" t="s">
        <v>27</v>
      </c>
      <c r="AQ102" s="42">
        <f>COUNTIF($AH$101:$AH$105,"&lt;&gt;項目設定なし")</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513">
        <f t="shared" si="50"/>
        <v>19</v>
      </c>
      <c r="D103" s="514"/>
      <c r="E103" s="468" t="s">
        <v>4091</v>
      </c>
      <c r="F103" s="469"/>
      <c r="G103" s="469"/>
      <c r="H103" s="469"/>
      <c r="I103" s="469"/>
      <c r="J103" s="469"/>
      <c r="K103" s="469"/>
      <c r="L103" s="469"/>
      <c r="M103" s="470"/>
      <c r="N103" s="27"/>
      <c r="O103" s="47" t="s">
        <v>4093</v>
      </c>
      <c r="P103" s="47"/>
      <c r="Q103" s="47"/>
      <c r="R103" s="47" t="s">
        <v>4227</v>
      </c>
      <c r="S103" s="47"/>
      <c r="T103" s="47"/>
      <c r="U103" s="47"/>
      <c r="V103" s="47"/>
      <c r="W103" s="47"/>
      <c r="X103" s="47"/>
      <c r="Y103" s="47"/>
      <c r="Z103" s="28"/>
      <c r="AA103" s="13"/>
      <c r="AB103" s="13"/>
      <c r="AC103" s="13"/>
      <c r="AD103" s="13"/>
      <c r="AE103" s="13"/>
      <c r="AF103" s="20"/>
      <c r="AG103" s="7"/>
      <c r="AH103" s="69" t="str">
        <f t="shared" si="52"/>
        <v>項目設定なし</v>
      </c>
      <c r="AI103" s="70"/>
      <c r="AJ103" s="26"/>
      <c r="AK103" s="20"/>
      <c r="AL103" s="42" t="str">
        <f>基本設定シート!$B$11&amp;"年度"</f>
        <v>2026年度</v>
      </c>
      <c r="AM103" s="42"/>
      <c r="AN103" s="42"/>
      <c r="AO103" s="42"/>
      <c r="AP103" s="42"/>
      <c r="AQ103" s="42"/>
      <c r="AR103" s="42"/>
      <c r="AS103" s="24"/>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513">
        <f t="shared" si="50"/>
        <v>20</v>
      </c>
      <c r="D104" s="514"/>
      <c r="E104" s="468" t="s">
        <v>4091</v>
      </c>
      <c r="F104" s="469"/>
      <c r="G104" s="469"/>
      <c r="H104" s="469"/>
      <c r="I104" s="469"/>
      <c r="J104" s="469"/>
      <c r="K104" s="469"/>
      <c r="L104" s="469"/>
      <c r="M104" s="470"/>
      <c r="N104" s="27"/>
      <c r="O104" s="47" t="s">
        <v>4093</v>
      </c>
      <c r="P104" s="47"/>
      <c r="Q104" s="47"/>
      <c r="R104" s="47" t="s">
        <v>4227</v>
      </c>
      <c r="S104" s="47"/>
      <c r="T104" s="47"/>
      <c r="U104" s="47"/>
      <c r="V104" s="47"/>
      <c r="W104" s="47"/>
      <c r="X104" s="47"/>
      <c r="Y104" s="47"/>
      <c r="Z104" s="28"/>
      <c r="AA104" s="13"/>
      <c r="AB104" s="13"/>
      <c r="AC104" s="13"/>
      <c r="AD104" s="13"/>
      <c r="AE104" s="13"/>
      <c r="AF104" s="20"/>
      <c r="AG104" s="7"/>
      <c r="AH104" s="69" t="str">
        <f t="shared" si="52"/>
        <v>項目設定なし</v>
      </c>
      <c r="AI104" s="70"/>
      <c r="AJ104" s="26"/>
      <c r="AK104" s="20"/>
      <c r="AL104" s="42" t="str">
        <f>IF(基本設定シート!$B$11=基本設定シート!$C$8,"",基本設定シート!$B$11+1&amp;"年度")</f>
        <v>2027年度</v>
      </c>
      <c r="AM104" s="42"/>
      <c r="AN104" s="42"/>
      <c r="AO104" s="42"/>
      <c r="AP104" s="42"/>
      <c r="AQ104" s="42"/>
      <c r="AR104" s="42"/>
      <c r="AS104" s="24"/>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513">
        <f t="shared" si="50"/>
        <v>21</v>
      </c>
      <c r="D105" s="514"/>
      <c r="E105" s="468" t="s">
        <v>4091</v>
      </c>
      <c r="F105" s="469"/>
      <c r="G105" s="469"/>
      <c r="H105" s="469"/>
      <c r="I105" s="469"/>
      <c r="J105" s="469"/>
      <c r="K105" s="469"/>
      <c r="L105" s="469"/>
      <c r="M105" s="470"/>
      <c r="N105" s="27"/>
      <c r="O105" s="47" t="s">
        <v>4093</v>
      </c>
      <c r="P105" s="47"/>
      <c r="Q105" s="47"/>
      <c r="R105" s="47" t="s">
        <v>4227</v>
      </c>
      <c r="S105" s="47"/>
      <c r="T105" s="47"/>
      <c r="U105" s="47"/>
      <c r="V105" s="47"/>
      <c r="W105" s="47"/>
      <c r="X105" s="47"/>
      <c r="Y105" s="47"/>
      <c r="Z105" s="28"/>
      <c r="AA105" s="13"/>
      <c r="AB105" s="13"/>
      <c r="AC105" s="13"/>
      <c r="AD105" s="13"/>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
        <v>4352</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KM7qfNqfl/OWxLGfc9pPbA6lMqnATcvT+zvtLDX2xLprPQ7A/fUiIplVeBedK9nVw+q0/g9lTLikzYyj+W2ctQ==" saltValue="X9Sm9Iktkwu5DWRFnj0PMw==" spinCount="100000" sheet="1" objects="1" scenarios="1" selectLockedCells="1"/>
  <mergeCells count="249">
    <mergeCell ref="C100:D100"/>
    <mergeCell ref="E100:M100"/>
    <mergeCell ref="C99:D99"/>
    <mergeCell ref="C101:D101"/>
    <mergeCell ref="C102:D102"/>
    <mergeCell ref="C103:D103"/>
    <mergeCell ref="C104:D104"/>
    <mergeCell ref="C105:D105"/>
    <mergeCell ref="H39:L39"/>
    <mergeCell ref="H40:L40"/>
    <mergeCell ref="H41:L41"/>
    <mergeCell ref="H42:L42"/>
    <mergeCell ref="H43:L43"/>
    <mergeCell ref="H44:L44"/>
    <mergeCell ref="H45:L45"/>
    <mergeCell ref="H46:L46"/>
    <mergeCell ref="H47:L47"/>
    <mergeCell ref="H48:L48"/>
    <mergeCell ref="C90:D90"/>
    <mergeCell ref="C91:D91"/>
    <mergeCell ref="C92:D92"/>
    <mergeCell ref="C93:D93"/>
    <mergeCell ref="C94:D94"/>
    <mergeCell ref="C95:D95"/>
    <mergeCell ref="C96:D96"/>
    <mergeCell ref="C97:D97"/>
    <mergeCell ref="C98:D98"/>
    <mergeCell ref="B48:E48"/>
    <mergeCell ref="F48:G48"/>
    <mergeCell ref="C84:D84"/>
    <mergeCell ref="C85:D85"/>
    <mergeCell ref="C86:D86"/>
    <mergeCell ref="C87:D87"/>
    <mergeCell ref="C88:D88"/>
    <mergeCell ref="C89:D89"/>
    <mergeCell ref="B39:E39"/>
    <mergeCell ref="F39:G39"/>
    <mergeCell ref="B40:E42"/>
    <mergeCell ref="B43:E45"/>
    <mergeCell ref="B46:E47"/>
    <mergeCell ref="F40:G42"/>
    <mergeCell ref="F43:G45"/>
    <mergeCell ref="F46:G47"/>
    <mergeCell ref="CC21:CE21"/>
    <mergeCell ref="BP23:BP29"/>
    <mergeCell ref="BP30:BP35"/>
    <mergeCell ref="E34:I34"/>
    <mergeCell ref="D35:W35"/>
    <mergeCell ref="B23:C29"/>
    <mergeCell ref="B30:C35"/>
    <mergeCell ref="AP29:AQ29"/>
    <mergeCell ref="AP30:AQ30"/>
    <mergeCell ref="AP31:AQ31"/>
    <mergeCell ref="AP32:AQ32"/>
    <mergeCell ref="AP33:AQ33"/>
    <mergeCell ref="AP34:AQ34"/>
    <mergeCell ref="BS20:CF20"/>
    <mergeCell ref="AA18:AD18"/>
    <mergeCell ref="BK22:BL22"/>
    <mergeCell ref="BP18:BR18"/>
    <mergeCell ref="BI22:BJ22"/>
    <mergeCell ref="AO22:AQ22"/>
    <mergeCell ref="CF21:CF22"/>
    <mergeCell ref="BS21:BS22"/>
    <mergeCell ref="BP20:BR22"/>
    <mergeCell ref="AK22:AL22"/>
    <mergeCell ref="AM22:AN22"/>
    <mergeCell ref="AV82:AW82"/>
    <mergeCell ref="AX82:AY82"/>
    <mergeCell ref="AZ82:BA82"/>
    <mergeCell ref="BB82:BC82"/>
    <mergeCell ref="BT21:CB21"/>
    <mergeCell ref="BB77:BC77"/>
    <mergeCell ref="AV78:AW78"/>
    <mergeCell ref="AX78:AY78"/>
    <mergeCell ref="AZ78:BA78"/>
    <mergeCell ref="BD79:BE79"/>
    <mergeCell ref="BD80:BE80"/>
    <mergeCell ref="BD81:BE81"/>
    <mergeCell ref="BD82:BE82"/>
    <mergeCell ref="AZ77:BA77"/>
    <mergeCell ref="BB78:BC78"/>
    <mergeCell ref="AV79:AW79"/>
    <mergeCell ref="AX79:AY79"/>
    <mergeCell ref="AZ79:BA79"/>
    <mergeCell ref="BB79:BC79"/>
    <mergeCell ref="BD78:BE78"/>
    <mergeCell ref="BB80:BC80"/>
    <mergeCell ref="AV81:AW81"/>
    <mergeCell ref="AX81:AY81"/>
    <mergeCell ref="AZ81:BA81"/>
    <mergeCell ref="E104:M104"/>
    <mergeCell ref="E105:M105"/>
    <mergeCell ref="N84:Z84"/>
    <mergeCell ref="E84:M84"/>
    <mergeCell ref="E85:M85"/>
    <mergeCell ref="E86:M86"/>
    <mergeCell ref="E87:M87"/>
    <mergeCell ref="E88:M88"/>
    <mergeCell ref="E89:M89"/>
    <mergeCell ref="E90:M90"/>
    <mergeCell ref="E91:M91"/>
    <mergeCell ref="E92:M92"/>
    <mergeCell ref="E93:M93"/>
    <mergeCell ref="E94:M94"/>
    <mergeCell ref="E95:M95"/>
    <mergeCell ref="E96:M96"/>
    <mergeCell ref="E101:M101"/>
    <mergeCell ref="E102:M102"/>
    <mergeCell ref="E103:M103"/>
    <mergeCell ref="E97:M97"/>
    <mergeCell ref="E98:M98"/>
    <mergeCell ref="E99:M99"/>
    <mergeCell ref="C4:E4"/>
    <mergeCell ref="AI8:AJ8"/>
    <mergeCell ref="AI9:AJ9"/>
    <mergeCell ref="W8:X8"/>
    <mergeCell ref="W9:X9"/>
    <mergeCell ref="W10:X10"/>
    <mergeCell ref="N6:O6"/>
    <mergeCell ref="W6:X6"/>
    <mergeCell ref="N8:O8"/>
    <mergeCell ref="N9:O9"/>
    <mergeCell ref="Y8:AD8"/>
    <mergeCell ref="F8:L8"/>
    <mergeCell ref="F10:L10"/>
    <mergeCell ref="AJ4:AK4"/>
    <mergeCell ref="B10:E10"/>
    <mergeCell ref="F9:G9"/>
    <mergeCell ref="P9:Q9"/>
    <mergeCell ref="R9:S9"/>
    <mergeCell ref="T9:U9"/>
    <mergeCell ref="W14:X14"/>
    <mergeCell ref="W12:X12"/>
    <mergeCell ref="X20:Y22"/>
    <mergeCell ref="AK8:AO8"/>
    <mergeCell ref="AK9:AO9"/>
    <mergeCell ref="Y14:AD14"/>
    <mergeCell ref="Y9:Z9"/>
    <mergeCell ref="AA9:AB9"/>
    <mergeCell ref="AC9:AD9"/>
    <mergeCell ref="F11:L11"/>
    <mergeCell ref="P8:U8"/>
    <mergeCell ref="N10:O10"/>
    <mergeCell ref="AP26:AQ26"/>
    <mergeCell ref="E28:I28"/>
    <mergeCell ref="E24:I24"/>
    <mergeCell ref="P11:U11"/>
    <mergeCell ref="Y11:AD11"/>
    <mergeCell ref="N12:O12"/>
    <mergeCell ref="W13:X13"/>
    <mergeCell ref="Y12:AD12"/>
    <mergeCell ref="Y13:AD13"/>
    <mergeCell ref="P12:U12"/>
    <mergeCell ref="J20:W20"/>
    <mergeCell ref="N11:O11"/>
    <mergeCell ref="W21:W22"/>
    <mergeCell ref="E25:I25"/>
    <mergeCell ref="E27:I27"/>
    <mergeCell ref="E23:I23"/>
    <mergeCell ref="J21:J22"/>
    <mergeCell ref="K21:S21"/>
    <mergeCell ref="T21:V21"/>
    <mergeCell ref="W11:X11"/>
    <mergeCell ref="AI22:AJ22"/>
    <mergeCell ref="AI77:AK77"/>
    <mergeCell ref="U61:V61"/>
    <mergeCell ref="E26:I26"/>
    <mergeCell ref="B20:I22"/>
    <mergeCell ref="D29:W29"/>
    <mergeCell ref="AL77:AM77"/>
    <mergeCell ref="AV77:AW77"/>
    <mergeCell ref="AB61:AC61"/>
    <mergeCell ref="O61:P61"/>
    <mergeCell ref="J61:L61"/>
    <mergeCell ref="S61:T61"/>
    <mergeCell ref="Z61:AA61"/>
    <mergeCell ref="M61:N61"/>
    <mergeCell ref="AL72:AM72"/>
    <mergeCell ref="C61:I61"/>
    <mergeCell ref="AP23:AQ23"/>
    <mergeCell ref="AP24:AQ24"/>
    <mergeCell ref="AP28:AQ28"/>
    <mergeCell ref="AP25:AQ25"/>
    <mergeCell ref="AP27:AQ27"/>
    <mergeCell ref="E31:I31"/>
    <mergeCell ref="E32:I32"/>
    <mergeCell ref="E33:I33"/>
    <mergeCell ref="B37:G37"/>
    <mergeCell ref="BD83:BE83"/>
    <mergeCell ref="BB81:BC81"/>
    <mergeCell ref="AV80:AW80"/>
    <mergeCell ref="AX80:AY80"/>
    <mergeCell ref="AZ80:BA80"/>
    <mergeCell ref="C67:H67"/>
    <mergeCell ref="AL79:AM79"/>
    <mergeCell ref="AI78:AK78"/>
    <mergeCell ref="AL78:AM78"/>
    <mergeCell ref="AI79:AK79"/>
    <mergeCell ref="AI73:AK73"/>
    <mergeCell ref="AL73:AM73"/>
    <mergeCell ref="AX77:AY77"/>
    <mergeCell ref="AI71:AK71"/>
    <mergeCell ref="AI70:AK70"/>
    <mergeCell ref="AL71:AM71"/>
    <mergeCell ref="AL70:AM70"/>
    <mergeCell ref="AI72:AK72"/>
    <mergeCell ref="AI74:AK74"/>
    <mergeCell ref="AL74:AM74"/>
    <mergeCell ref="AI75:AK75"/>
    <mergeCell ref="AL75:AM75"/>
    <mergeCell ref="AI76:AK76"/>
    <mergeCell ref="AL76:AM76"/>
    <mergeCell ref="AV83:AW83"/>
    <mergeCell ref="AX83:AY83"/>
    <mergeCell ref="AZ83:BA83"/>
    <mergeCell ref="BB83:BC83"/>
    <mergeCell ref="AV84:AW84"/>
    <mergeCell ref="AX84:AY84"/>
    <mergeCell ref="AZ84:BA84"/>
    <mergeCell ref="BB84:BC84"/>
    <mergeCell ref="AV85:AW85"/>
    <mergeCell ref="AX85:AY85"/>
    <mergeCell ref="AZ85:BA85"/>
    <mergeCell ref="BB85:BC85"/>
    <mergeCell ref="AV87:AW87"/>
    <mergeCell ref="AX87:AY87"/>
    <mergeCell ref="AZ87:BA87"/>
    <mergeCell ref="BB87:BC87"/>
    <mergeCell ref="BD87:BE87"/>
    <mergeCell ref="B6:E6"/>
    <mergeCell ref="B8:E8"/>
    <mergeCell ref="B9:E9"/>
    <mergeCell ref="B11:E11"/>
    <mergeCell ref="B18:G18"/>
    <mergeCell ref="B59:G59"/>
    <mergeCell ref="B65:M65"/>
    <mergeCell ref="N65:T65"/>
    <mergeCell ref="U65:AD65"/>
    <mergeCell ref="AV86:AW86"/>
    <mergeCell ref="AX86:AY86"/>
    <mergeCell ref="AZ86:BA86"/>
    <mergeCell ref="BB86:BC86"/>
    <mergeCell ref="BD86:BE86"/>
    <mergeCell ref="AA15:AB15"/>
    <mergeCell ref="BD77:BE77"/>
    <mergeCell ref="BD84:BE84"/>
    <mergeCell ref="E30:I30"/>
    <mergeCell ref="BD85:BE85"/>
  </mergeCells>
  <phoneticPr fontId="4"/>
  <conditionalFormatting sqref="D28:I28">
    <cfRule type="expression" dxfId="129" priority="31">
      <formula>$AG$28="選択あり"</formula>
    </cfRule>
  </conditionalFormatting>
  <conditionalFormatting sqref="D34:I34">
    <cfRule type="expression" dxfId="128" priority="8">
      <formula>$AG$34="選択あり"</formula>
    </cfRule>
  </conditionalFormatting>
  <conditionalFormatting sqref="E101:M105">
    <cfRule type="expression" dxfId="127" priority="27">
      <formula>AH101&lt;&gt;"項目設定なし"</formula>
    </cfRule>
    <cfRule type="expression" dxfId="126" priority="45">
      <formula>AND($E101&lt;&gt;"（自由記述欄）",$E101&lt;&gt;"")</formula>
    </cfRule>
  </conditionalFormatting>
  <conditionalFormatting sqref="F8:L8 P8:U8 Y8:AD8 F10:L11 P10:U11 Y10:AD14 K23:V28 BT23:CE28 K30:V34">
    <cfRule type="expression" dxfId="125" priority="40">
      <formula>F8&lt;&gt;""</formula>
    </cfRule>
  </conditionalFormatting>
  <conditionalFormatting sqref="H4">
    <cfRule type="expression" dxfId="124" priority="42">
      <formula>$H$4&lt;&gt;""</formula>
    </cfRule>
  </conditionalFormatting>
  <conditionalFormatting sqref="H9:J9">
    <cfRule type="expression" dxfId="123" priority="14">
      <formula>H9&lt;&gt;""</formula>
    </cfRule>
  </conditionalFormatting>
  <conditionalFormatting sqref="H40:M42">
    <cfRule type="expression" dxfId="122" priority="3">
      <formula>$F$40=""</formula>
    </cfRule>
  </conditionalFormatting>
  <conditionalFormatting sqref="H43:M45">
    <cfRule type="expression" dxfId="121" priority="2">
      <formula>$F$43=""</formula>
    </cfRule>
  </conditionalFormatting>
  <conditionalFormatting sqref="H46:M47">
    <cfRule type="expression" dxfId="120" priority="1">
      <formula>$F$46=""</formula>
    </cfRule>
  </conditionalFormatting>
  <conditionalFormatting sqref="J4">
    <cfRule type="expression" dxfId="119" priority="41">
      <formula>$J$4&lt;&gt;""</formula>
    </cfRule>
  </conditionalFormatting>
  <conditionalFormatting sqref="M40:M47 F40:G47">
    <cfRule type="expression" dxfId="118" priority="4">
      <formula>F40&lt;&gt;""</formula>
    </cfRule>
  </conditionalFormatting>
  <conditionalFormatting sqref="M61:N61">
    <cfRule type="expression" dxfId="117" priority="28">
      <formula>$M$61&lt;&gt;""</formula>
    </cfRule>
  </conditionalFormatting>
  <conditionalFormatting sqref="O85:O105">
    <cfRule type="expression" dxfId="116" priority="23">
      <formula>$AG85=1</formula>
    </cfRule>
  </conditionalFormatting>
  <conditionalFormatting sqref="P12">
    <cfRule type="expression" dxfId="115" priority="33">
      <formula>P12&lt;&gt;""</formula>
    </cfRule>
  </conditionalFormatting>
  <conditionalFormatting sqref="P9:Q9">
    <cfRule type="expression" dxfId="114" priority="13">
      <formula>$AG$9=1</formula>
    </cfRule>
  </conditionalFormatting>
  <conditionalFormatting sqref="R85:R105">
    <cfRule type="expression" dxfId="113" priority="22">
      <formula>$AG85=2</formula>
    </cfRule>
  </conditionalFormatting>
  <conditionalFormatting sqref="R9:S9">
    <cfRule type="expression" dxfId="112" priority="12">
      <formula>$AG$9=2</formula>
    </cfRule>
  </conditionalFormatting>
  <conditionalFormatting sqref="U85:U105">
    <cfRule type="expression" dxfId="111" priority="21">
      <formula>$AG85=3</formula>
    </cfRule>
  </conditionalFormatting>
  <conditionalFormatting sqref="X85:X105">
    <cfRule type="expression" dxfId="110" priority="20">
      <formula>$AG85=4</formula>
    </cfRule>
  </conditionalFormatting>
  <conditionalFormatting sqref="X28:Y28">
    <cfRule type="expression" dxfId="109" priority="6">
      <formula>$AO$28=""</formula>
    </cfRule>
  </conditionalFormatting>
  <conditionalFormatting sqref="X34:Y34">
    <cfRule type="expression" dxfId="108" priority="5">
      <formula>$AO$34=""</formula>
    </cfRule>
  </conditionalFormatting>
  <conditionalFormatting sqref="Y9:Z9">
    <cfRule type="expression" dxfId="107" priority="11">
      <formula>$AH$9=1</formula>
    </cfRule>
  </conditionalFormatting>
  <conditionalFormatting sqref="AA9:AB9">
    <cfRule type="expression" dxfId="106" priority="10">
      <formula>$AH$9=2</formula>
    </cfRule>
  </conditionalFormatting>
  <conditionalFormatting sqref="AC9:AD9">
    <cfRule type="expression" dxfId="105" priority="9">
      <formula>$AH$9=3</formula>
    </cfRule>
  </conditionalFormatting>
  <conditionalFormatting sqref="BT30:CE34">
    <cfRule type="expression" dxfId="104" priority="7">
      <formula>BT30&lt;&gt;""</formula>
    </cfRule>
  </conditionalFormatting>
  <dataValidations count="7">
    <dataValidation type="whole" errorStyle="warning" imeMode="halfAlpha" allowBlank="1" showInputMessage="1" showErrorMessage="1" error="4～12の数値（整数）を入力してください。" sqref="H4" xr:uid="{DD56A2D0-F854-4B4C-9E48-303EFAB684BF}">
      <formula1>4</formula1>
      <formula2>12</formula2>
    </dataValidation>
    <dataValidation type="whole" errorStyle="warning" imeMode="halfAlpha" allowBlank="1" showInputMessage="1" showErrorMessage="1" error="入力値に誤りがあります。" sqref="J4" xr:uid="{CAB0DEFB-5F70-41D0-A50A-3DE894495009}">
      <formula1>1</formula1>
      <formula2>IF(OR(H4=2,H4=4,H4=6,H4=9,H4=11),30,31)</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F1C268CB-C7B6-4434-9F1F-7EE6410EAE08}">
      <formula1>AND(M61&lt;=100,M61&gt;=0)</formula1>
    </dataValidation>
    <dataValidation type="decimal" imeMode="halfAlpha" allowBlank="1" showInputMessage="1" showErrorMessage="1" sqref="BT23:CE28 K23:W28 BT30:CE34" xr:uid="{D5AAABFB-2190-44FF-AD6A-9208C1C75760}">
      <formula1>0</formula1>
      <formula2>999999999</formula2>
    </dataValidation>
    <dataValidation imeMode="halfAlpha" allowBlank="1" showInputMessage="1" showErrorMessage="1" sqref="Y13:AD14 H9 J9 Q10 S10 Z10 AB10" xr:uid="{05E97297-B7A1-4816-98D9-D0FB1E215648}"/>
    <dataValidation imeMode="hiragana" allowBlank="1" showInputMessage="1" showErrorMessage="1" sqref="E101:M105 F8:L8 F10:L11 P8:U8 P11:U11 Y8:AD8 Y11:AD12" xr:uid="{79CF9302-08E7-4467-9D7D-CE4160709BE2}"/>
    <dataValidation type="list" allowBlank="1" showInputMessage="1" showErrorMessage="1" sqref="C67:H67" xr:uid="{8306C4B7-8D40-4766-AB90-26E2AF86FDD5}">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oddHeader>
  </headerFooter>
  <rowBreaks count="1" manualBreakCount="1">
    <brk id="81" max="16383"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13</xdr:col>
                    <xdr:colOff>371475</xdr:colOff>
                    <xdr:row>84</xdr:row>
                    <xdr:rowOff>66675</xdr:rowOff>
                  </from>
                  <to>
                    <xdr:col>15</xdr:col>
                    <xdr:colOff>276225</xdr:colOff>
                    <xdr:row>84</xdr:row>
                    <xdr:rowOff>295275</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16</xdr:col>
                    <xdr:colOff>371475</xdr:colOff>
                    <xdr:row>84</xdr:row>
                    <xdr:rowOff>66675</xdr:rowOff>
                  </from>
                  <to>
                    <xdr:col>18</xdr:col>
                    <xdr:colOff>552450</xdr:colOff>
                    <xdr:row>84</xdr:row>
                    <xdr:rowOff>295275</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19</xdr:col>
                    <xdr:colOff>381000</xdr:colOff>
                    <xdr:row>84</xdr:row>
                    <xdr:rowOff>66675</xdr:rowOff>
                  </from>
                  <to>
                    <xdr:col>21</xdr:col>
                    <xdr:colOff>314325</xdr:colOff>
                    <xdr:row>84</xdr:row>
                    <xdr:rowOff>295275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13</xdr:col>
                    <xdr:colOff>371475</xdr:colOff>
                    <xdr:row>85</xdr:row>
                    <xdr:rowOff>66675</xdr:rowOff>
                  </from>
                  <to>
                    <xdr:col>15</xdr:col>
                    <xdr:colOff>314325</xdr:colOff>
                    <xdr:row>85</xdr:row>
                    <xdr:rowOff>285750</xdr:rowOff>
                  </to>
                </anchor>
              </controlPr>
            </control>
          </mc:Choice>
        </mc:AlternateContent>
        <mc:AlternateContent xmlns:mc="http://schemas.openxmlformats.org/markup-compatibility/2006">
          <mc:Choice Requires="x14">
            <control shapeId="1035" r:id="rId8" name="Option Button 11">
              <controlPr defaultSize="0" autoFill="0" autoLine="0" autoPict="0">
                <anchor moveWithCells="1">
                  <from>
                    <xdr:col>13</xdr:col>
                    <xdr:colOff>371475</xdr:colOff>
                    <xdr:row>86</xdr:row>
                    <xdr:rowOff>66675</xdr:rowOff>
                  </from>
                  <to>
                    <xdr:col>16</xdr:col>
                    <xdr:colOff>295275</xdr:colOff>
                    <xdr:row>86</xdr:row>
                    <xdr:rowOff>285750</xdr:rowOff>
                  </to>
                </anchor>
              </controlPr>
            </control>
          </mc:Choice>
        </mc:AlternateContent>
        <mc:AlternateContent xmlns:mc="http://schemas.openxmlformats.org/markup-compatibility/2006">
          <mc:Choice Requires="x14">
            <control shapeId="1036" r:id="rId9" name="Option Button 12">
              <controlPr defaultSize="0" autoFill="0" autoLine="0" autoPict="0">
                <anchor moveWithCells="1">
                  <from>
                    <xdr:col>13</xdr:col>
                    <xdr:colOff>371475</xdr:colOff>
                    <xdr:row>87</xdr:row>
                    <xdr:rowOff>66675</xdr:rowOff>
                  </from>
                  <to>
                    <xdr:col>15</xdr:col>
                    <xdr:colOff>276225</xdr:colOff>
                    <xdr:row>87</xdr:row>
                    <xdr:rowOff>285750</xdr:rowOff>
                  </to>
                </anchor>
              </controlPr>
            </control>
          </mc:Choice>
        </mc:AlternateContent>
        <mc:AlternateContent xmlns:mc="http://schemas.openxmlformats.org/markup-compatibility/2006">
          <mc:Choice Requires="x14">
            <control shapeId="1037" r:id="rId10" name="Option Button 13">
              <controlPr defaultSize="0" autoFill="0" autoLine="0" autoPict="0">
                <anchor moveWithCells="1">
                  <from>
                    <xdr:col>13</xdr:col>
                    <xdr:colOff>371475</xdr:colOff>
                    <xdr:row>88</xdr:row>
                    <xdr:rowOff>66675</xdr:rowOff>
                  </from>
                  <to>
                    <xdr:col>15</xdr:col>
                    <xdr:colOff>276225</xdr:colOff>
                    <xdr:row>88</xdr:row>
                    <xdr:rowOff>295275</xdr:rowOff>
                  </to>
                </anchor>
              </controlPr>
            </control>
          </mc:Choice>
        </mc:AlternateContent>
        <mc:AlternateContent xmlns:mc="http://schemas.openxmlformats.org/markup-compatibility/2006">
          <mc:Choice Requires="x14">
            <control shapeId="1038" r:id="rId11" name="Option Button 14">
              <controlPr defaultSize="0" autoFill="0" autoLine="0" autoPict="0">
                <anchor moveWithCells="1">
                  <from>
                    <xdr:col>13</xdr:col>
                    <xdr:colOff>371475</xdr:colOff>
                    <xdr:row>89</xdr:row>
                    <xdr:rowOff>66675</xdr:rowOff>
                  </from>
                  <to>
                    <xdr:col>15</xdr:col>
                    <xdr:colOff>295275</xdr:colOff>
                    <xdr:row>89</xdr:row>
                    <xdr:rowOff>285750</xdr:rowOff>
                  </to>
                </anchor>
              </controlPr>
            </control>
          </mc:Choice>
        </mc:AlternateContent>
        <mc:AlternateContent xmlns:mc="http://schemas.openxmlformats.org/markup-compatibility/2006">
          <mc:Choice Requires="x14">
            <control shapeId="1039" r:id="rId12" name="Option Button 15">
              <controlPr defaultSize="0" autoFill="0" autoLine="0" autoPict="0">
                <anchor moveWithCells="1">
                  <from>
                    <xdr:col>13</xdr:col>
                    <xdr:colOff>371475</xdr:colOff>
                    <xdr:row>90</xdr:row>
                    <xdr:rowOff>66675</xdr:rowOff>
                  </from>
                  <to>
                    <xdr:col>15</xdr:col>
                    <xdr:colOff>285750</xdr:colOff>
                    <xdr:row>90</xdr:row>
                    <xdr:rowOff>295275</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1042" r:id="rId15" name="Option Button 18">
              <controlPr defaultSize="0" autoFill="0" autoLine="0" autoPict="0">
                <anchor moveWithCells="1">
                  <from>
                    <xdr:col>13</xdr:col>
                    <xdr:colOff>371475</xdr:colOff>
                    <xdr:row>93</xdr:row>
                    <xdr:rowOff>66675</xdr:rowOff>
                  </from>
                  <to>
                    <xdr:col>15</xdr:col>
                    <xdr:colOff>276225</xdr:colOff>
                    <xdr:row>93</xdr:row>
                    <xdr:rowOff>285750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from>
                    <xdr:col>13</xdr:col>
                    <xdr:colOff>371475</xdr:colOff>
                    <xdr:row>94</xdr:row>
                    <xdr:rowOff>66675</xdr:rowOff>
                  </from>
                  <to>
                    <xdr:col>15</xdr:col>
                    <xdr:colOff>295275</xdr:colOff>
                    <xdr:row>94</xdr:row>
                    <xdr:rowOff>285750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from>
                    <xdr:col>13</xdr:col>
                    <xdr:colOff>371475</xdr:colOff>
                    <xdr:row>95</xdr:row>
                    <xdr:rowOff>66675</xdr:rowOff>
                  </from>
                  <to>
                    <xdr:col>15</xdr:col>
                    <xdr:colOff>257175</xdr:colOff>
                    <xdr:row>95</xdr:row>
                    <xdr:rowOff>285750</xdr:rowOff>
                  </to>
                </anchor>
              </controlPr>
            </control>
          </mc:Choice>
        </mc:AlternateContent>
        <mc:AlternateContent xmlns:mc="http://schemas.openxmlformats.org/markup-compatibility/2006">
          <mc:Choice Requires="x14">
            <control shapeId="1045" r:id="rId18" name="Option Button 21">
              <controlPr defaultSize="0" autoFill="0" autoLine="0" autoPict="0">
                <anchor moveWithCells="1">
                  <from>
                    <xdr:col>13</xdr:col>
                    <xdr:colOff>371475</xdr:colOff>
                    <xdr:row>96</xdr:row>
                    <xdr:rowOff>66675</xdr:rowOff>
                  </from>
                  <to>
                    <xdr:col>15</xdr:col>
                    <xdr:colOff>295275</xdr:colOff>
                    <xdr:row>96</xdr:row>
                    <xdr:rowOff>285750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from>
                    <xdr:col>13</xdr:col>
                    <xdr:colOff>371475</xdr:colOff>
                    <xdr:row>97</xdr:row>
                    <xdr:rowOff>66675</xdr:rowOff>
                  </from>
                  <to>
                    <xdr:col>15</xdr:col>
                    <xdr:colOff>295275</xdr:colOff>
                    <xdr:row>97</xdr:row>
                    <xdr:rowOff>285750</xdr:rowOff>
                  </to>
                </anchor>
              </controlPr>
            </control>
          </mc:Choice>
        </mc:AlternateContent>
        <mc:AlternateContent xmlns:mc="http://schemas.openxmlformats.org/markup-compatibility/2006">
          <mc:Choice Requires="x14">
            <control shapeId="1050" r:id="rId20" name="Option Button 26">
              <controlPr defaultSize="0" autoFill="0" autoLine="0" autoPict="0">
                <anchor moveWithCells="1">
                  <from>
                    <xdr:col>13</xdr:col>
                    <xdr:colOff>371475</xdr:colOff>
                    <xdr:row>100</xdr:row>
                    <xdr:rowOff>66675</xdr:rowOff>
                  </from>
                  <to>
                    <xdr:col>15</xdr:col>
                    <xdr:colOff>295275</xdr:colOff>
                    <xdr:row>100</xdr:row>
                    <xdr:rowOff>295275</xdr:rowOff>
                  </to>
                </anchor>
              </controlPr>
            </control>
          </mc:Choice>
        </mc:AlternateContent>
        <mc:AlternateContent xmlns:mc="http://schemas.openxmlformats.org/markup-compatibility/2006">
          <mc:Choice Requires="x14">
            <control shapeId="1051" r:id="rId21" name="Option Button 27">
              <controlPr defaultSize="0" autoFill="0" autoLine="0" autoPict="0">
                <anchor moveWithCells="1">
                  <from>
                    <xdr:col>13</xdr:col>
                    <xdr:colOff>371475</xdr:colOff>
                    <xdr:row>101</xdr:row>
                    <xdr:rowOff>66675</xdr:rowOff>
                  </from>
                  <to>
                    <xdr:col>15</xdr:col>
                    <xdr:colOff>285750</xdr:colOff>
                    <xdr:row>101</xdr:row>
                    <xdr:rowOff>285750</xdr:rowOff>
                  </to>
                </anchor>
              </controlPr>
            </control>
          </mc:Choice>
        </mc:AlternateContent>
        <mc:AlternateContent xmlns:mc="http://schemas.openxmlformats.org/markup-compatibility/2006">
          <mc:Choice Requires="x14">
            <control shapeId="1052" r:id="rId22" name="Option Button 28">
              <controlPr defaultSize="0" autoFill="0" autoLine="0" autoPict="0">
                <anchor moveWithCells="1">
                  <from>
                    <xdr:col>13</xdr:col>
                    <xdr:colOff>371475</xdr:colOff>
                    <xdr:row>102</xdr:row>
                    <xdr:rowOff>66675</xdr:rowOff>
                  </from>
                  <to>
                    <xdr:col>15</xdr:col>
                    <xdr:colOff>285750</xdr:colOff>
                    <xdr:row>102</xdr:row>
                    <xdr:rowOff>285750</xdr:rowOff>
                  </to>
                </anchor>
              </controlPr>
            </control>
          </mc:Choice>
        </mc:AlternateContent>
        <mc:AlternateContent xmlns:mc="http://schemas.openxmlformats.org/markup-compatibility/2006">
          <mc:Choice Requires="x14">
            <control shapeId="1053" r:id="rId23" name="Option Button 29">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1054" r:id="rId24" name="Option Button 30">
              <controlPr defaultSize="0" autoFill="0" autoLine="0" autoPict="0">
                <anchor moveWithCells="1">
                  <from>
                    <xdr:col>13</xdr:col>
                    <xdr:colOff>371475</xdr:colOff>
                    <xdr:row>104</xdr:row>
                    <xdr:rowOff>66675</xdr:rowOff>
                  </from>
                  <to>
                    <xdr:col>15</xdr:col>
                    <xdr:colOff>295275</xdr:colOff>
                    <xdr:row>104</xdr:row>
                    <xdr:rowOff>285750</xdr:rowOff>
                  </to>
                </anchor>
              </controlPr>
            </control>
          </mc:Choice>
        </mc:AlternateContent>
        <mc:AlternateContent xmlns:mc="http://schemas.openxmlformats.org/markup-compatibility/2006">
          <mc:Choice Requires="x14">
            <control shapeId="1055" r:id="rId25" name="Option Button 31">
              <controlPr defaultSize="0" autoFill="0" autoLine="0" autoPict="0">
                <anchor moveWithCells="1">
                  <from>
                    <xdr:col>16</xdr:col>
                    <xdr:colOff>371475</xdr:colOff>
                    <xdr:row>85</xdr:row>
                    <xdr:rowOff>66675</xdr:rowOff>
                  </from>
                  <to>
                    <xdr:col>18</xdr:col>
                    <xdr:colOff>581025</xdr:colOff>
                    <xdr:row>85</xdr:row>
                    <xdr:rowOff>285750</xdr:rowOff>
                  </to>
                </anchor>
              </controlPr>
            </control>
          </mc:Choice>
        </mc:AlternateContent>
        <mc:AlternateContent xmlns:mc="http://schemas.openxmlformats.org/markup-compatibility/2006">
          <mc:Choice Requires="x14">
            <control shapeId="1056" r:id="rId26" name="Option Button 32">
              <controlPr defaultSize="0" autoFill="0" autoLine="0" autoPict="0">
                <anchor moveWithCells="1">
                  <from>
                    <xdr:col>16</xdr:col>
                    <xdr:colOff>371475</xdr:colOff>
                    <xdr:row>86</xdr:row>
                    <xdr:rowOff>66675</xdr:rowOff>
                  </from>
                  <to>
                    <xdr:col>18</xdr:col>
                    <xdr:colOff>514350</xdr:colOff>
                    <xdr:row>86</xdr:row>
                    <xdr:rowOff>285750</xdr:rowOff>
                  </to>
                </anchor>
              </controlPr>
            </control>
          </mc:Choice>
        </mc:AlternateContent>
        <mc:AlternateContent xmlns:mc="http://schemas.openxmlformats.org/markup-compatibility/2006">
          <mc:Choice Requires="x14">
            <control shapeId="1057" r:id="rId27" name="Option Button 33">
              <controlPr defaultSize="0" autoFill="0" autoLine="0" autoPict="0">
                <anchor moveWithCells="1">
                  <from>
                    <xdr:col>16</xdr:col>
                    <xdr:colOff>371475</xdr:colOff>
                    <xdr:row>87</xdr:row>
                    <xdr:rowOff>66675</xdr:rowOff>
                  </from>
                  <to>
                    <xdr:col>18</xdr:col>
                    <xdr:colOff>581025</xdr:colOff>
                    <xdr:row>87</xdr:row>
                    <xdr:rowOff>285750</xdr:rowOff>
                  </to>
                </anchor>
              </controlPr>
            </control>
          </mc:Choice>
        </mc:AlternateContent>
        <mc:AlternateContent xmlns:mc="http://schemas.openxmlformats.org/markup-compatibility/2006">
          <mc:Choice Requires="x14">
            <control shapeId="1058" r:id="rId28" name="Option Button 34">
              <controlPr defaultSize="0" autoFill="0" autoLine="0" autoPict="0">
                <anchor moveWithCells="1">
                  <from>
                    <xdr:col>16</xdr:col>
                    <xdr:colOff>371475</xdr:colOff>
                    <xdr:row>88</xdr:row>
                    <xdr:rowOff>66675</xdr:rowOff>
                  </from>
                  <to>
                    <xdr:col>18</xdr:col>
                    <xdr:colOff>600075</xdr:colOff>
                    <xdr:row>88</xdr:row>
                    <xdr:rowOff>295275</xdr:rowOff>
                  </to>
                </anchor>
              </controlPr>
            </control>
          </mc:Choice>
        </mc:AlternateContent>
        <mc:AlternateContent xmlns:mc="http://schemas.openxmlformats.org/markup-compatibility/2006">
          <mc:Choice Requires="x14">
            <control shapeId="1059" r:id="rId29" name="Option Button 35">
              <controlPr defaultSize="0" autoFill="0" autoLine="0" autoPict="0">
                <anchor moveWithCells="1">
                  <from>
                    <xdr:col>16</xdr:col>
                    <xdr:colOff>371475</xdr:colOff>
                    <xdr:row>89</xdr:row>
                    <xdr:rowOff>66675</xdr:rowOff>
                  </from>
                  <to>
                    <xdr:col>18</xdr:col>
                    <xdr:colOff>542925</xdr:colOff>
                    <xdr:row>89</xdr:row>
                    <xdr:rowOff>285750</xdr:rowOff>
                  </to>
                </anchor>
              </controlPr>
            </control>
          </mc:Choice>
        </mc:AlternateContent>
        <mc:AlternateContent xmlns:mc="http://schemas.openxmlformats.org/markup-compatibility/2006">
          <mc:Choice Requires="x14">
            <control shapeId="1060" r:id="rId30" name="Option Button 36">
              <controlPr defaultSize="0" autoFill="0" autoLine="0" autoPict="0">
                <anchor moveWithCells="1">
                  <from>
                    <xdr:col>16</xdr:col>
                    <xdr:colOff>371475</xdr:colOff>
                    <xdr:row>90</xdr:row>
                    <xdr:rowOff>66675</xdr:rowOff>
                  </from>
                  <to>
                    <xdr:col>18</xdr:col>
                    <xdr:colOff>542925</xdr:colOff>
                    <xdr:row>90</xdr:row>
                    <xdr:rowOff>295275</xdr:rowOff>
                  </to>
                </anchor>
              </controlPr>
            </control>
          </mc:Choice>
        </mc:AlternateContent>
        <mc:AlternateContent xmlns:mc="http://schemas.openxmlformats.org/markup-compatibility/2006">
          <mc:Choice Requires="x14">
            <control shapeId="1061" r:id="rId31" name="Option Button 37">
              <controlPr defaultSize="0" autoFill="0" autoLine="0" autoPict="0">
                <anchor moveWithCells="1">
                  <from>
                    <xdr:col>16</xdr:col>
                    <xdr:colOff>371475</xdr:colOff>
                    <xdr:row>91</xdr:row>
                    <xdr:rowOff>66675</xdr:rowOff>
                  </from>
                  <to>
                    <xdr:col>18</xdr:col>
                    <xdr:colOff>561975</xdr:colOff>
                    <xdr:row>91</xdr:row>
                    <xdr:rowOff>285750</xdr:rowOff>
                  </to>
                </anchor>
              </controlPr>
            </control>
          </mc:Choice>
        </mc:AlternateContent>
        <mc:AlternateContent xmlns:mc="http://schemas.openxmlformats.org/markup-compatibility/2006">
          <mc:Choice Requires="x14">
            <control shapeId="1062" r:id="rId32" name="Option Button 38">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1063" r:id="rId33" name="Option Button 39">
              <controlPr defaultSize="0" autoFill="0" autoLine="0" autoPict="0">
                <anchor moveWithCells="1">
                  <from>
                    <xdr:col>16</xdr:col>
                    <xdr:colOff>371475</xdr:colOff>
                    <xdr:row>93</xdr:row>
                    <xdr:rowOff>66675</xdr:rowOff>
                  </from>
                  <to>
                    <xdr:col>18</xdr:col>
                    <xdr:colOff>561975</xdr:colOff>
                    <xdr:row>93</xdr:row>
                    <xdr:rowOff>285750</xdr:rowOff>
                  </to>
                </anchor>
              </controlPr>
            </control>
          </mc:Choice>
        </mc:AlternateContent>
        <mc:AlternateContent xmlns:mc="http://schemas.openxmlformats.org/markup-compatibility/2006">
          <mc:Choice Requires="x14">
            <control shapeId="1064" r:id="rId34" name="Option Button 40">
              <controlPr defaultSize="0" autoFill="0" autoLine="0" autoPict="0">
                <anchor moveWithCells="1">
                  <from>
                    <xdr:col>16</xdr:col>
                    <xdr:colOff>371475</xdr:colOff>
                    <xdr:row>94</xdr:row>
                    <xdr:rowOff>66675</xdr:rowOff>
                  </from>
                  <to>
                    <xdr:col>18</xdr:col>
                    <xdr:colOff>561975</xdr:colOff>
                    <xdr:row>94</xdr:row>
                    <xdr:rowOff>285750</xdr:rowOff>
                  </to>
                </anchor>
              </controlPr>
            </control>
          </mc:Choice>
        </mc:AlternateContent>
        <mc:AlternateContent xmlns:mc="http://schemas.openxmlformats.org/markup-compatibility/2006">
          <mc:Choice Requires="x14">
            <control shapeId="1065" r:id="rId35" name="Option Button 41">
              <controlPr defaultSize="0" autoFill="0" autoLine="0" autoPict="0">
                <anchor moveWithCells="1">
                  <from>
                    <xdr:col>16</xdr:col>
                    <xdr:colOff>371475</xdr:colOff>
                    <xdr:row>95</xdr:row>
                    <xdr:rowOff>66675</xdr:rowOff>
                  </from>
                  <to>
                    <xdr:col>18</xdr:col>
                    <xdr:colOff>561975</xdr:colOff>
                    <xdr:row>95</xdr:row>
                    <xdr:rowOff>285750</xdr:rowOff>
                  </to>
                </anchor>
              </controlPr>
            </control>
          </mc:Choice>
        </mc:AlternateContent>
        <mc:AlternateContent xmlns:mc="http://schemas.openxmlformats.org/markup-compatibility/2006">
          <mc:Choice Requires="x14">
            <control shapeId="1066" r:id="rId36" name="Option Button 42">
              <controlPr defaultSize="0" autoFill="0" autoLine="0" autoPict="0">
                <anchor moveWithCells="1">
                  <from>
                    <xdr:col>16</xdr:col>
                    <xdr:colOff>371475</xdr:colOff>
                    <xdr:row>96</xdr:row>
                    <xdr:rowOff>66675</xdr:rowOff>
                  </from>
                  <to>
                    <xdr:col>18</xdr:col>
                    <xdr:colOff>561975</xdr:colOff>
                    <xdr:row>96</xdr:row>
                    <xdr:rowOff>285750</xdr:rowOff>
                  </to>
                </anchor>
              </controlPr>
            </control>
          </mc:Choice>
        </mc:AlternateContent>
        <mc:AlternateContent xmlns:mc="http://schemas.openxmlformats.org/markup-compatibility/2006">
          <mc:Choice Requires="x14">
            <control shapeId="1067" r:id="rId37" name="Option Button 43">
              <controlPr defaultSize="0" autoFill="0" autoLine="0" autoPict="0">
                <anchor moveWithCells="1">
                  <from>
                    <xdr:col>16</xdr:col>
                    <xdr:colOff>371475</xdr:colOff>
                    <xdr:row>97</xdr:row>
                    <xdr:rowOff>66675</xdr:rowOff>
                  </from>
                  <to>
                    <xdr:col>18</xdr:col>
                    <xdr:colOff>542925</xdr:colOff>
                    <xdr:row>97</xdr:row>
                    <xdr:rowOff>285750</xdr:rowOff>
                  </to>
                </anchor>
              </controlPr>
            </control>
          </mc:Choice>
        </mc:AlternateContent>
        <mc:AlternateContent xmlns:mc="http://schemas.openxmlformats.org/markup-compatibility/2006">
          <mc:Choice Requires="x14">
            <control shapeId="1071" r:id="rId38" name="Option Button 47">
              <controlPr defaultSize="0" autoFill="0" autoLine="0" autoPict="0">
                <anchor moveWithCells="1">
                  <from>
                    <xdr:col>16</xdr:col>
                    <xdr:colOff>371475</xdr:colOff>
                    <xdr:row>100</xdr:row>
                    <xdr:rowOff>66675</xdr:rowOff>
                  </from>
                  <to>
                    <xdr:col>18</xdr:col>
                    <xdr:colOff>561975</xdr:colOff>
                    <xdr:row>100</xdr:row>
                    <xdr:rowOff>295275</xdr:rowOff>
                  </to>
                </anchor>
              </controlPr>
            </control>
          </mc:Choice>
        </mc:AlternateContent>
        <mc:AlternateContent xmlns:mc="http://schemas.openxmlformats.org/markup-compatibility/2006">
          <mc:Choice Requires="x14">
            <control shapeId="1072" r:id="rId39" name="Option Button 48">
              <controlPr defaultSize="0" autoFill="0" autoLine="0" autoPict="0">
                <anchor moveWithCells="1">
                  <from>
                    <xdr:col>16</xdr:col>
                    <xdr:colOff>371475</xdr:colOff>
                    <xdr:row>101</xdr:row>
                    <xdr:rowOff>66675</xdr:rowOff>
                  </from>
                  <to>
                    <xdr:col>18</xdr:col>
                    <xdr:colOff>581025</xdr:colOff>
                    <xdr:row>101</xdr:row>
                    <xdr:rowOff>285750</xdr:rowOff>
                  </to>
                </anchor>
              </controlPr>
            </control>
          </mc:Choice>
        </mc:AlternateContent>
        <mc:AlternateContent xmlns:mc="http://schemas.openxmlformats.org/markup-compatibility/2006">
          <mc:Choice Requires="x14">
            <control shapeId="1073" r:id="rId40" name="Option Button 49">
              <controlPr defaultSize="0" autoFill="0" autoLine="0" autoPict="0">
                <anchor moveWithCells="1">
                  <from>
                    <xdr:col>16</xdr:col>
                    <xdr:colOff>371475</xdr:colOff>
                    <xdr:row>102</xdr:row>
                    <xdr:rowOff>66675</xdr:rowOff>
                  </from>
                  <to>
                    <xdr:col>18</xdr:col>
                    <xdr:colOff>542925</xdr:colOff>
                    <xdr:row>102</xdr:row>
                    <xdr:rowOff>285750</xdr:rowOff>
                  </to>
                </anchor>
              </controlPr>
            </control>
          </mc:Choice>
        </mc:AlternateContent>
        <mc:AlternateContent xmlns:mc="http://schemas.openxmlformats.org/markup-compatibility/2006">
          <mc:Choice Requires="x14">
            <control shapeId="1074" r:id="rId41" name="Option Button 50">
              <controlPr defaultSize="0" autoFill="0" autoLine="0" autoPict="0">
                <anchor moveWithCells="1">
                  <from>
                    <xdr:col>16</xdr:col>
                    <xdr:colOff>371475</xdr:colOff>
                    <xdr:row>103</xdr:row>
                    <xdr:rowOff>66675</xdr:rowOff>
                  </from>
                  <to>
                    <xdr:col>18</xdr:col>
                    <xdr:colOff>542925</xdr:colOff>
                    <xdr:row>103</xdr:row>
                    <xdr:rowOff>285750</xdr:rowOff>
                  </to>
                </anchor>
              </controlPr>
            </control>
          </mc:Choice>
        </mc:AlternateContent>
        <mc:AlternateContent xmlns:mc="http://schemas.openxmlformats.org/markup-compatibility/2006">
          <mc:Choice Requires="x14">
            <control shapeId="1075" r:id="rId42" name="Option Button 51">
              <controlPr defaultSize="0" autoFill="0" autoLine="0" autoPict="0">
                <anchor moveWithCells="1">
                  <from>
                    <xdr:col>16</xdr:col>
                    <xdr:colOff>371475</xdr:colOff>
                    <xdr:row>104</xdr:row>
                    <xdr:rowOff>66675</xdr:rowOff>
                  </from>
                  <to>
                    <xdr:col>18</xdr:col>
                    <xdr:colOff>561975</xdr:colOff>
                    <xdr:row>104</xdr:row>
                    <xdr:rowOff>314325</xdr:rowOff>
                  </to>
                </anchor>
              </controlPr>
            </control>
          </mc:Choice>
        </mc:AlternateContent>
        <mc:AlternateContent xmlns:mc="http://schemas.openxmlformats.org/markup-compatibility/2006">
          <mc:Choice Requires="x14">
            <control shapeId="1076" r:id="rId43" name="Option Button 52">
              <controlPr defaultSize="0" autoFill="0" autoLine="0" autoPict="0">
                <anchor moveWithCells="1">
                  <from>
                    <xdr:col>19</xdr:col>
                    <xdr:colOff>381000</xdr:colOff>
                    <xdr:row>85</xdr:row>
                    <xdr:rowOff>66675</xdr:rowOff>
                  </from>
                  <to>
                    <xdr:col>21</xdr:col>
                    <xdr:colOff>314325</xdr:colOff>
                    <xdr:row>85</xdr:row>
                    <xdr:rowOff>285750</xdr:rowOff>
                  </to>
                </anchor>
              </controlPr>
            </control>
          </mc:Choice>
        </mc:AlternateContent>
        <mc:AlternateContent xmlns:mc="http://schemas.openxmlformats.org/markup-compatibility/2006">
          <mc:Choice Requires="x14">
            <control shapeId="1077" r:id="rId44" name="Option Button 53">
              <controlPr defaultSize="0" autoFill="0" autoLine="0" autoPict="0">
                <anchor moveWithCells="1">
                  <from>
                    <xdr:col>19</xdr:col>
                    <xdr:colOff>381000</xdr:colOff>
                    <xdr:row>86</xdr:row>
                    <xdr:rowOff>66675</xdr:rowOff>
                  </from>
                  <to>
                    <xdr:col>21</xdr:col>
                    <xdr:colOff>257175</xdr:colOff>
                    <xdr:row>86</xdr:row>
                    <xdr:rowOff>285750</xdr:rowOff>
                  </to>
                </anchor>
              </controlPr>
            </control>
          </mc:Choice>
        </mc:AlternateContent>
        <mc:AlternateContent xmlns:mc="http://schemas.openxmlformats.org/markup-compatibility/2006">
          <mc:Choice Requires="x14">
            <control shapeId="1078" r:id="rId45" name="Option Button 54">
              <controlPr defaultSize="0" autoFill="0" autoLine="0" autoPict="0">
                <anchor moveWithCells="1">
                  <from>
                    <xdr:col>19</xdr:col>
                    <xdr:colOff>381000</xdr:colOff>
                    <xdr:row>87</xdr:row>
                    <xdr:rowOff>66675</xdr:rowOff>
                  </from>
                  <to>
                    <xdr:col>21</xdr:col>
                    <xdr:colOff>257175</xdr:colOff>
                    <xdr:row>87</xdr:row>
                    <xdr:rowOff>285750</xdr:rowOff>
                  </to>
                </anchor>
              </controlPr>
            </control>
          </mc:Choice>
        </mc:AlternateContent>
        <mc:AlternateContent xmlns:mc="http://schemas.openxmlformats.org/markup-compatibility/2006">
          <mc:Choice Requires="x14">
            <control shapeId="1079" r:id="rId46" name="Option Button 55">
              <controlPr defaultSize="0" autoFill="0" autoLine="0" autoPict="0">
                <anchor moveWithCells="1">
                  <from>
                    <xdr:col>19</xdr:col>
                    <xdr:colOff>381000</xdr:colOff>
                    <xdr:row>88</xdr:row>
                    <xdr:rowOff>66675</xdr:rowOff>
                  </from>
                  <to>
                    <xdr:col>21</xdr:col>
                    <xdr:colOff>295275</xdr:colOff>
                    <xdr:row>88</xdr:row>
                    <xdr:rowOff>295275</xdr:rowOff>
                  </to>
                </anchor>
              </controlPr>
            </control>
          </mc:Choice>
        </mc:AlternateContent>
        <mc:AlternateContent xmlns:mc="http://schemas.openxmlformats.org/markup-compatibility/2006">
          <mc:Choice Requires="x14">
            <control shapeId="1080" r:id="rId47" name="Option Button 56">
              <controlPr defaultSize="0" autoFill="0" autoLine="0" autoPict="0">
                <anchor moveWithCells="1">
                  <from>
                    <xdr:col>19</xdr:col>
                    <xdr:colOff>381000</xdr:colOff>
                    <xdr:row>89</xdr:row>
                    <xdr:rowOff>66675</xdr:rowOff>
                  </from>
                  <to>
                    <xdr:col>21</xdr:col>
                    <xdr:colOff>276225</xdr:colOff>
                    <xdr:row>89</xdr:row>
                    <xdr:rowOff>285750</xdr:rowOff>
                  </to>
                </anchor>
              </controlPr>
            </control>
          </mc:Choice>
        </mc:AlternateContent>
        <mc:AlternateContent xmlns:mc="http://schemas.openxmlformats.org/markup-compatibility/2006">
          <mc:Choice Requires="x14">
            <control shapeId="1081" r:id="rId48" name="Option Button 57">
              <controlPr defaultSize="0" autoFill="0" autoLine="0" autoPict="0">
                <anchor moveWithCells="1">
                  <from>
                    <xdr:col>19</xdr:col>
                    <xdr:colOff>381000</xdr:colOff>
                    <xdr:row>90</xdr:row>
                    <xdr:rowOff>66675</xdr:rowOff>
                  </from>
                  <to>
                    <xdr:col>21</xdr:col>
                    <xdr:colOff>285750</xdr:colOff>
                    <xdr:row>90</xdr:row>
                    <xdr:rowOff>295275</xdr:rowOff>
                  </to>
                </anchor>
              </controlPr>
            </control>
          </mc:Choice>
        </mc:AlternateContent>
        <mc:AlternateContent xmlns:mc="http://schemas.openxmlformats.org/markup-compatibility/2006">
          <mc:Choice Requires="x14">
            <control shapeId="1082" r:id="rId49" name="Option Button 58">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1083" r:id="rId50" name="Option Button 59">
              <controlPr defaultSize="0" autoFill="0" autoLine="0" autoPict="0">
                <anchor moveWithCells="1">
                  <from>
                    <xdr:col>19</xdr:col>
                    <xdr:colOff>381000</xdr:colOff>
                    <xdr:row>92</xdr:row>
                    <xdr:rowOff>66675</xdr:rowOff>
                  </from>
                  <to>
                    <xdr:col>21</xdr:col>
                    <xdr:colOff>257175</xdr:colOff>
                    <xdr:row>92</xdr:row>
                    <xdr:rowOff>285750</xdr:rowOff>
                  </to>
                </anchor>
              </controlPr>
            </control>
          </mc:Choice>
        </mc:AlternateContent>
        <mc:AlternateContent xmlns:mc="http://schemas.openxmlformats.org/markup-compatibility/2006">
          <mc:Choice Requires="x14">
            <control shapeId="1084" r:id="rId51" name="Option Button 60">
              <controlPr defaultSize="0" autoFill="0" autoLine="0" autoPict="0">
                <anchor moveWithCells="1">
                  <from>
                    <xdr:col>19</xdr:col>
                    <xdr:colOff>381000</xdr:colOff>
                    <xdr:row>93</xdr:row>
                    <xdr:rowOff>66675</xdr:rowOff>
                  </from>
                  <to>
                    <xdr:col>21</xdr:col>
                    <xdr:colOff>276225</xdr:colOff>
                    <xdr:row>93</xdr:row>
                    <xdr:rowOff>285750</xdr:rowOff>
                  </to>
                </anchor>
              </controlPr>
            </control>
          </mc:Choice>
        </mc:AlternateContent>
        <mc:AlternateContent xmlns:mc="http://schemas.openxmlformats.org/markup-compatibility/2006">
          <mc:Choice Requires="x14">
            <control shapeId="1085" r:id="rId52" name="Option Button 61">
              <controlPr defaultSize="0" autoFill="0" autoLine="0" autoPict="0">
                <anchor moveWithCells="1">
                  <from>
                    <xdr:col>19</xdr:col>
                    <xdr:colOff>381000</xdr:colOff>
                    <xdr:row>94</xdr:row>
                    <xdr:rowOff>66675</xdr:rowOff>
                  </from>
                  <to>
                    <xdr:col>21</xdr:col>
                    <xdr:colOff>257175</xdr:colOff>
                    <xdr:row>94</xdr:row>
                    <xdr:rowOff>285750</xdr:rowOff>
                  </to>
                </anchor>
              </controlPr>
            </control>
          </mc:Choice>
        </mc:AlternateContent>
        <mc:AlternateContent xmlns:mc="http://schemas.openxmlformats.org/markup-compatibility/2006">
          <mc:Choice Requires="x14">
            <control shapeId="1086" r:id="rId53" name="Option Button 62">
              <controlPr defaultSize="0" autoFill="0" autoLine="0" autoPict="0">
                <anchor moveWithCells="1">
                  <from>
                    <xdr:col>19</xdr:col>
                    <xdr:colOff>381000</xdr:colOff>
                    <xdr:row>95</xdr:row>
                    <xdr:rowOff>66675</xdr:rowOff>
                  </from>
                  <to>
                    <xdr:col>21</xdr:col>
                    <xdr:colOff>276225</xdr:colOff>
                    <xdr:row>95</xdr:row>
                    <xdr:rowOff>285750</xdr:rowOff>
                  </to>
                </anchor>
              </controlPr>
            </control>
          </mc:Choice>
        </mc:AlternateContent>
        <mc:AlternateContent xmlns:mc="http://schemas.openxmlformats.org/markup-compatibility/2006">
          <mc:Choice Requires="x14">
            <control shapeId="1087" r:id="rId54" name="Option Button 63">
              <controlPr defaultSize="0" autoFill="0" autoLine="0" autoPict="0">
                <anchor moveWithCells="1">
                  <from>
                    <xdr:col>19</xdr:col>
                    <xdr:colOff>381000</xdr:colOff>
                    <xdr:row>96</xdr:row>
                    <xdr:rowOff>66675</xdr:rowOff>
                  </from>
                  <to>
                    <xdr:col>21</xdr:col>
                    <xdr:colOff>276225</xdr:colOff>
                    <xdr:row>96</xdr:row>
                    <xdr:rowOff>285750</xdr:rowOff>
                  </to>
                </anchor>
              </controlPr>
            </control>
          </mc:Choice>
        </mc:AlternateContent>
        <mc:AlternateContent xmlns:mc="http://schemas.openxmlformats.org/markup-compatibility/2006">
          <mc:Choice Requires="x14">
            <control shapeId="1088" r:id="rId55" name="Option Button 64">
              <controlPr defaultSize="0" autoFill="0" autoLine="0" autoPict="0">
                <anchor moveWithCells="1">
                  <from>
                    <xdr:col>19</xdr:col>
                    <xdr:colOff>381000</xdr:colOff>
                    <xdr:row>97</xdr:row>
                    <xdr:rowOff>66675</xdr:rowOff>
                  </from>
                  <to>
                    <xdr:col>21</xdr:col>
                    <xdr:colOff>247650</xdr:colOff>
                    <xdr:row>97</xdr:row>
                    <xdr:rowOff>285750</xdr:rowOff>
                  </to>
                </anchor>
              </controlPr>
            </control>
          </mc:Choice>
        </mc:AlternateContent>
        <mc:AlternateContent xmlns:mc="http://schemas.openxmlformats.org/markup-compatibility/2006">
          <mc:Choice Requires="x14">
            <control shapeId="1096" r:id="rId56" name="Group Box 72">
              <controlPr defaultSize="0" autoFill="0" autoPict="0">
                <anchor moveWithCells="1">
                  <from>
                    <xdr:col>12</xdr:col>
                    <xdr:colOff>504825</xdr:colOff>
                    <xdr:row>84</xdr:row>
                    <xdr:rowOff>28575</xdr:rowOff>
                  </from>
                  <to>
                    <xdr:col>25</xdr:col>
                    <xdr:colOff>342900</xdr:colOff>
                    <xdr:row>84</xdr:row>
                    <xdr:rowOff>342900</xdr:rowOff>
                  </to>
                </anchor>
              </controlPr>
            </control>
          </mc:Choice>
        </mc:AlternateContent>
        <mc:AlternateContent xmlns:mc="http://schemas.openxmlformats.org/markup-compatibility/2006">
          <mc:Choice Requires="x14">
            <control shapeId="1118" r:id="rId57" name="Group Box 94">
              <controlPr defaultSize="0" autoFill="0" autoPict="0">
                <anchor moveWithCells="1">
                  <from>
                    <xdr:col>12</xdr:col>
                    <xdr:colOff>504825</xdr:colOff>
                    <xdr:row>85</xdr:row>
                    <xdr:rowOff>38100</xdr:rowOff>
                  </from>
                  <to>
                    <xdr:col>25</xdr:col>
                    <xdr:colOff>352425</xdr:colOff>
                    <xdr:row>85</xdr:row>
                    <xdr:rowOff>371475</xdr:rowOff>
                  </to>
                </anchor>
              </controlPr>
            </control>
          </mc:Choice>
        </mc:AlternateContent>
        <mc:AlternateContent xmlns:mc="http://schemas.openxmlformats.org/markup-compatibility/2006">
          <mc:Choice Requires="x14">
            <control shapeId="1120" r:id="rId58" name="Group Box 96">
              <controlPr defaultSize="0" autoFill="0" autoPict="0">
                <anchor moveWithCells="1">
                  <from>
                    <xdr:col>12</xdr:col>
                    <xdr:colOff>504825</xdr:colOff>
                    <xdr:row>86</xdr:row>
                    <xdr:rowOff>38100</xdr:rowOff>
                  </from>
                  <to>
                    <xdr:col>25</xdr:col>
                    <xdr:colOff>352425</xdr:colOff>
                    <xdr:row>86</xdr:row>
                    <xdr:rowOff>371475</xdr:rowOff>
                  </to>
                </anchor>
              </controlPr>
            </control>
          </mc:Choice>
        </mc:AlternateContent>
        <mc:AlternateContent xmlns:mc="http://schemas.openxmlformats.org/markup-compatibility/2006">
          <mc:Choice Requires="x14">
            <control shapeId="1123" r:id="rId59" name="Group Box 99">
              <controlPr defaultSize="0" autoFill="0" autoPict="0">
                <anchor moveWithCells="1">
                  <from>
                    <xdr:col>12</xdr:col>
                    <xdr:colOff>504825</xdr:colOff>
                    <xdr:row>87</xdr:row>
                    <xdr:rowOff>28575</xdr:rowOff>
                  </from>
                  <to>
                    <xdr:col>25</xdr:col>
                    <xdr:colOff>352425</xdr:colOff>
                    <xdr:row>87</xdr:row>
                    <xdr:rowOff>342900</xdr:rowOff>
                  </to>
                </anchor>
              </controlPr>
            </control>
          </mc:Choice>
        </mc:AlternateContent>
        <mc:AlternateContent xmlns:mc="http://schemas.openxmlformats.org/markup-compatibility/2006">
          <mc:Choice Requires="x14">
            <control shapeId="1125" r:id="rId60" name="Group Box 101">
              <controlPr defaultSize="0" autoFill="0" autoPict="0">
                <anchor moveWithCells="1">
                  <from>
                    <xdr:col>12</xdr:col>
                    <xdr:colOff>504825</xdr:colOff>
                    <xdr:row>88</xdr:row>
                    <xdr:rowOff>38100</xdr:rowOff>
                  </from>
                  <to>
                    <xdr:col>25</xdr:col>
                    <xdr:colOff>352425</xdr:colOff>
                    <xdr:row>88</xdr:row>
                    <xdr:rowOff>371475</xdr:rowOff>
                  </to>
                </anchor>
              </controlPr>
            </control>
          </mc:Choice>
        </mc:AlternateContent>
        <mc:AlternateContent xmlns:mc="http://schemas.openxmlformats.org/markup-compatibility/2006">
          <mc:Choice Requires="x14">
            <control shapeId="1127" r:id="rId61" name="Group Box 103">
              <controlPr defaultSize="0" autoFill="0" autoPict="0">
                <anchor moveWithCells="1">
                  <from>
                    <xdr:col>12</xdr:col>
                    <xdr:colOff>504825</xdr:colOff>
                    <xdr:row>89</xdr:row>
                    <xdr:rowOff>47625</xdr:rowOff>
                  </from>
                  <to>
                    <xdr:col>25</xdr:col>
                    <xdr:colOff>352425</xdr:colOff>
                    <xdr:row>89</xdr:row>
                    <xdr:rowOff>371475</xdr:rowOff>
                  </to>
                </anchor>
              </controlPr>
            </control>
          </mc:Choice>
        </mc:AlternateContent>
        <mc:AlternateContent xmlns:mc="http://schemas.openxmlformats.org/markup-compatibility/2006">
          <mc:Choice Requires="x14">
            <control shapeId="1128" r:id="rId62" name="Group Box 104">
              <controlPr defaultSize="0" autoFill="0" autoPict="0">
                <anchor moveWithCells="1">
                  <from>
                    <xdr:col>12</xdr:col>
                    <xdr:colOff>504825</xdr:colOff>
                    <xdr:row>90</xdr:row>
                    <xdr:rowOff>38100</xdr:rowOff>
                  </from>
                  <to>
                    <xdr:col>25</xdr:col>
                    <xdr:colOff>352425</xdr:colOff>
                    <xdr:row>90</xdr:row>
                    <xdr:rowOff>371475</xdr:rowOff>
                  </to>
                </anchor>
              </controlPr>
            </control>
          </mc:Choice>
        </mc:AlternateContent>
        <mc:AlternateContent xmlns:mc="http://schemas.openxmlformats.org/markup-compatibility/2006">
          <mc:Choice Requires="x14">
            <control shapeId="1129" r:id="rId63" name="Group Box 105">
              <controlPr defaultSize="0" autoFill="0" autoPict="0">
                <anchor moveWithCells="1">
                  <from>
                    <xdr:col>12</xdr:col>
                    <xdr:colOff>504825</xdr:colOff>
                    <xdr:row>91</xdr:row>
                    <xdr:rowOff>38100</xdr:rowOff>
                  </from>
                  <to>
                    <xdr:col>25</xdr:col>
                    <xdr:colOff>352425</xdr:colOff>
                    <xdr:row>91</xdr:row>
                    <xdr:rowOff>371475</xdr:rowOff>
                  </to>
                </anchor>
              </controlPr>
            </control>
          </mc:Choice>
        </mc:AlternateContent>
        <mc:AlternateContent xmlns:mc="http://schemas.openxmlformats.org/markup-compatibility/2006">
          <mc:Choice Requires="x14">
            <control shapeId="1131" r:id="rId64" name="Group Box 107">
              <controlPr defaultSize="0" autoFill="0" autoPict="0">
                <anchor moveWithCells="1">
                  <from>
                    <xdr:col>12</xdr:col>
                    <xdr:colOff>504825</xdr:colOff>
                    <xdr:row>92</xdr:row>
                    <xdr:rowOff>47625</xdr:rowOff>
                  </from>
                  <to>
                    <xdr:col>25</xdr:col>
                    <xdr:colOff>352425</xdr:colOff>
                    <xdr:row>92</xdr:row>
                    <xdr:rowOff>371475</xdr:rowOff>
                  </to>
                </anchor>
              </controlPr>
            </control>
          </mc:Choice>
        </mc:AlternateContent>
        <mc:AlternateContent xmlns:mc="http://schemas.openxmlformats.org/markup-compatibility/2006">
          <mc:Choice Requires="x14">
            <control shapeId="1133" r:id="rId65" name="Group Box 109">
              <controlPr defaultSize="0" autoFill="0" autoPict="0">
                <anchor moveWithCells="1">
                  <from>
                    <xdr:col>12</xdr:col>
                    <xdr:colOff>504825</xdr:colOff>
                    <xdr:row>93</xdr:row>
                    <xdr:rowOff>57150</xdr:rowOff>
                  </from>
                  <to>
                    <xdr:col>25</xdr:col>
                    <xdr:colOff>352425</xdr:colOff>
                    <xdr:row>94</xdr:row>
                    <xdr:rowOff>0</xdr:rowOff>
                  </to>
                </anchor>
              </controlPr>
            </control>
          </mc:Choice>
        </mc:AlternateContent>
        <mc:AlternateContent xmlns:mc="http://schemas.openxmlformats.org/markup-compatibility/2006">
          <mc:Choice Requires="x14">
            <control shapeId="1135" r:id="rId66" name="Group Box 111">
              <controlPr defaultSize="0" autoFill="0" autoPict="0">
                <anchor moveWithCells="1">
                  <from>
                    <xdr:col>12</xdr:col>
                    <xdr:colOff>504825</xdr:colOff>
                    <xdr:row>94</xdr:row>
                    <xdr:rowOff>47625</xdr:rowOff>
                  </from>
                  <to>
                    <xdr:col>25</xdr:col>
                    <xdr:colOff>352425</xdr:colOff>
                    <xdr:row>94</xdr:row>
                    <xdr:rowOff>371475</xdr:rowOff>
                  </to>
                </anchor>
              </controlPr>
            </control>
          </mc:Choice>
        </mc:AlternateContent>
        <mc:AlternateContent xmlns:mc="http://schemas.openxmlformats.org/markup-compatibility/2006">
          <mc:Choice Requires="x14">
            <control shapeId="1137" r:id="rId67" name="Group Box 113">
              <controlPr defaultSize="0" autoFill="0" autoPict="0">
                <anchor moveWithCells="1">
                  <from>
                    <xdr:col>12</xdr:col>
                    <xdr:colOff>504825</xdr:colOff>
                    <xdr:row>95</xdr:row>
                    <xdr:rowOff>57150</xdr:rowOff>
                  </from>
                  <to>
                    <xdr:col>25</xdr:col>
                    <xdr:colOff>352425</xdr:colOff>
                    <xdr:row>96</xdr:row>
                    <xdr:rowOff>0</xdr:rowOff>
                  </to>
                </anchor>
              </controlPr>
            </control>
          </mc:Choice>
        </mc:AlternateContent>
        <mc:AlternateContent xmlns:mc="http://schemas.openxmlformats.org/markup-compatibility/2006">
          <mc:Choice Requires="x14">
            <control shapeId="1139" r:id="rId68" name="Group Box 115">
              <controlPr defaultSize="0" autoFill="0" autoPict="0">
                <anchor moveWithCells="1">
                  <from>
                    <xdr:col>12</xdr:col>
                    <xdr:colOff>504825</xdr:colOff>
                    <xdr:row>96</xdr:row>
                    <xdr:rowOff>47625</xdr:rowOff>
                  </from>
                  <to>
                    <xdr:col>25</xdr:col>
                    <xdr:colOff>352425</xdr:colOff>
                    <xdr:row>96</xdr:row>
                    <xdr:rowOff>371475</xdr:rowOff>
                  </to>
                </anchor>
              </controlPr>
            </control>
          </mc:Choice>
        </mc:AlternateContent>
        <mc:AlternateContent xmlns:mc="http://schemas.openxmlformats.org/markup-compatibility/2006">
          <mc:Choice Requires="x14">
            <control shapeId="1142" r:id="rId69" name="Group Box 118">
              <controlPr defaultSize="0" autoFill="0" autoPict="0">
                <anchor moveWithCells="1">
                  <from>
                    <xdr:col>12</xdr:col>
                    <xdr:colOff>504825</xdr:colOff>
                    <xdr:row>97</xdr:row>
                    <xdr:rowOff>38100</xdr:rowOff>
                  </from>
                  <to>
                    <xdr:col>25</xdr:col>
                    <xdr:colOff>352425</xdr:colOff>
                    <xdr:row>97</xdr:row>
                    <xdr:rowOff>371475</xdr:rowOff>
                  </to>
                </anchor>
              </controlPr>
            </control>
          </mc:Choice>
        </mc:AlternateContent>
        <mc:AlternateContent xmlns:mc="http://schemas.openxmlformats.org/markup-compatibility/2006">
          <mc:Choice Requires="x14">
            <control shapeId="1150" r:id="rId70" name="Group Box 126">
              <controlPr defaultSize="0" autoFill="0" autoPict="0">
                <anchor moveWithCells="1">
                  <from>
                    <xdr:col>12</xdr:col>
                    <xdr:colOff>504825</xdr:colOff>
                    <xdr:row>100</xdr:row>
                    <xdr:rowOff>28575</xdr:rowOff>
                  </from>
                  <to>
                    <xdr:col>25</xdr:col>
                    <xdr:colOff>371475</xdr:colOff>
                    <xdr:row>100</xdr:row>
                    <xdr:rowOff>342900</xdr:rowOff>
                  </to>
                </anchor>
              </controlPr>
            </control>
          </mc:Choice>
        </mc:AlternateContent>
        <mc:AlternateContent xmlns:mc="http://schemas.openxmlformats.org/markup-compatibility/2006">
          <mc:Choice Requires="x14">
            <control shapeId="1152" r:id="rId71" name="Group Box 128">
              <controlPr defaultSize="0" autoFill="0" autoPict="0">
                <anchor moveWithCells="1">
                  <from>
                    <xdr:col>12</xdr:col>
                    <xdr:colOff>504825</xdr:colOff>
                    <xdr:row>101</xdr:row>
                    <xdr:rowOff>38100</xdr:rowOff>
                  </from>
                  <to>
                    <xdr:col>25</xdr:col>
                    <xdr:colOff>352425</xdr:colOff>
                    <xdr:row>101</xdr:row>
                    <xdr:rowOff>371475</xdr:rowOff>
                  </to>
                </anchor>
              </controlPr>
            </control>
          </mc:Choice>
        </mc:AlternateContent>
        <mc:AlternateContent xmlns:mc="http://schemas.openxmlformats.org/markup-compatibility/2006">
          <mc:Choice Requires="x14">
            <control shapeId="1154" r:id="rId72" name="Group Box 130">
              <controlPr defaultSize="0" autoFill="0" autoPict="0">
                <anchor moveWithCells="1">
                  <from>
                    <xdr:col>12</xdr:col>
                    <xdr:colOff>504825</xdr:colOff>
                    <xdr:row>102</xdr:row>
                    <xdr:rowOff>28575</xdr:rowOff>
                  </from>
                  <to>
                    <xdr:col>25</xdr:col>
                    <xdr:colOff>352425</xdr:colOff>
                    <xdr:row>102</xdr:row>
                    <xdr:rowOff>342900</xdr:rowOff>
                  </to>
                </anchor>
              </controlPr>
            </control>
          </mc:Choice>
        </mc:AlternateContent>
        <mc:AlternateContent xmlns:mc="http://schemas.openxmlformats.org/markup-compatibility/2006">
          <mc:Choice Requires="x14">
            <control shapeId="1156" r:id="rId73" name="Group Box 132">
              <controlPr defaultSize="0" autoFill="0" autoPict="0">
                <anchor moveWithCells="1">
                  <from>
                    <xdr:col>12</xdr:col>
                    <xdr:colOff>504825</xdr:colOff>
                    <xdr:row>103</xdr:row>
                    <xdr:rowOff>38100</xdr:rowOff>
                  </from>
                  <to>
                    <xdr:col>25</xdr:col>
                    <xdr:colOff>352425</xdr:colOff>
                    <xdr:row>103</xdr:row>
                    <xdr:rowOff>371475</xdr:rowOff>
                  </to>
                </anchor>
              </controlPr>
            </control>
          </mc:Choice>
        </mc:AlternateContent>
        <mc:AlternateContent xmlns:mc="http://schemas.openxmlformats.org/markup-compatibility/2006">
          <mc:Choice Requires="x14">
            <control shapeId="1158" r:id="rId74" name="Group Box 134">
              <controlPr defaultSize="0" autoFill="0" autoPict="0">
                <anchor moveWithCells="1">
                  <from>
                    <xdr:col>12</xdr:col>
                    <xdr:colOff>504825</xdr:colOff>
                    <xdr:row>104</xdr:row>
                    <xdr:rowOff>28575</xdr:rowOff>
                  </from>
                  <to>
                    <xdr:col>25</xdr:col>
                    <xdr:colOff>352425</xdr:colOff>
                    <xdr:row>104</xdr:row>
                    <xdr:rowOff>342900</xdr:rowOff>
                  </to>
                </anchor>
              </controlPr>
            </control>
          </mc:Choice>
        </mc:AlternateContent>
        <mc:AlternateContent xmlns:mc="http://schemas.openxmlformats.org/markup-compatibility/2006">
          <mc:Choice Requires="x14">
            <control shapeId="1160" r:id="rId75" name="Option Button 136">
              <controlPr defaultSize="0" autoFill="0" autoLine="0" autoPict="0">
                <anchor moveWithCells="1">
                  <from>
                    <xdr:col>15</xdr:col>
                    <xdr:colOff>47625</xdr:colOff>
                    <xdr:row>8</xdr:row>
                    <xdr:rowOff>47625</xdr:rowOff>
                  </from>
                  <to>
                    <xdr:col>16</xdr:col>
                    <xdr:colOff>485775</xdr:colOff>
                    <xdr:row>8</xdr:row>
                    <xdr:rowOff>295275</xdr:rowOff>
                  </to>
                </anchor>
              </controlPr>
            </control>
          </mc:Choice>
        </mc:AlternateContent>
        <mc:AlternateContent xmlns:mc="http://schemas.openxmlformats.org/markup-compatibility/2006">
          <mc:Choice Requires="x14">
            <control shapeId="1161" r:id="rId76" name="Option Button 137">
              <controlPr defaultSize="0" autoFill="0" autoLine="0" autoPict="0">
                <anchor moveWithCells="1">
                  <from>
                    <xdr:col>17</xdr:col>
                    <xdr:colOff>66675</xdr:colOff>
                    <xdr:row>8</xdr:row>
                    <xdr:rowOff>47625</xdr:rowOff>
                  </from>
                  <to>
                    <xdr:col>18</xdr:col>
                    <xdr:colOff>571500</xdr:colOff>
                    <xdr:row>8</xdr:row>
                    <xdr:rowOff>295275</xdr:rowOff>
                  </to>
                </anchor>
              </controlPr>
            </control>
          </mc:Choice>
        </mc:AlternateContent>
        <mc:AlternateContent xmlns:mc="http://schemas.openxmlformats.org/markup-compatibility/2006">
          <mc:Choice Requires="x14">
            <control shapeId="1162" r:id="rId77" name="Option Button 138">
              <controlPr defaultSize="0" autoFill="0" autoLine="0" autoPict="0">
                <anchor moveWithCells="1">
                  <from>
                    <xdr:col>24</xdr:col>
                    <xdr:colOff>47625</xdr:colOff>
                    <xdr:row>8</xdr:row>
                    <xdr:rowOff>47625</xdr:rowOff>
                  </from>
                  <to>
                    <xdr:col>25</xdr:col>
                    <xdr:colOff>476250</xdr:colOff>
                    <xdr:row>8</xdr:row>
                    <xdr:rowOff>295275</xdr:rowOff>
                  </to>
                </anchor>
              </controlPr>
            </control>
          </mc:Choice>
        </mc:AlternateContent>
        <mc:AlternateContent xmlns:mc="http://schemas.openxmlformats.org/markup-compatibility/2006">
          <mc:Choice Requires="x14">
            <control shapeId="1163" r:id="rId78" name="Option Button 139">
              <controlPr defaultSize="0" autoFill="0" autoLine="0" autoPict="0">
                <anchor moveWithCells="1">
                  <from>
                    <xdr:col>26</xdr:col>
                    <xdr:colOff>57150</xdr:colOff>
                    <xdr:row>8</xdr:row>
                    <xdr:rowOff>47625</xdr:rowOff>
                  </from>
                  <to>
                    <xdr:col>27</xdr:col>
                    <xdr:colOff>571500</xdr:colOff>
                    <xdr:row>8</xdr:row>
                    <xdr:rowOff>295275</xdr:rowOff>
                  </to>
                </anchor>
              </controlPr>
            </control>
          </mc:Choice>
        </mc:AlternateContent>
        <mc:AlternateContent xmlns:mc="http://schemas.openxmlformats.org/markup-compatibility/2006">
          <mc:Choice Requires="x14">
            <control shapeId="1164" r:id="rId79" name="Option Button 140">
              <controlPr defaultSize="0" autoFill="0" autoLine="0" autoPict="0">
                <anchor moveWithCells="1">
                  <from>
                    <xdr:col>28</xdr:col>
                    <xdr:colOff>66675</xdr:colOff>
                    <xdr:row>8</xdr:row>
                    <xdr:rowOff>47625</xdr:rowOff>
                  </from>
                  <to>
                    <xdr:col>29</xdr:col>
                    <xdr:colOff>381000</xdr:colOff>
                    <xdr:row>8</xdr:row>
                    <xdr:rowOff>295275</xdr:rowOff>
                  </to>
                </anchor>
              </controlPr>
            </control>
          </mc:Choice>
        </mc:AlternateContent>
        <mc:AlternateContent xmlns:mc="http://schemas.openxmlformats.org/markup-compatibility/2006">
          <mc:Choice Requires="x14">
            <control shapeId="1165" r:id="rId80" name="Group Box 141">
              <controlPr defaultSize="0" autoFill="0" autoPict="0">
                <anchor moveWithCells="1">
                  <from>
                    <xdr:col>14</xdr:col>
                    <xdr:colOff>390525</xdr:colOff>
                    <xdr:row>7</xdr:row>
                    <xdr:rowOff>257175</xdr:rowOff>
                  </from>
                  <to>
                    <xdr:col>21</xdr:col>
                    <xdr:colOff>57150</xdr:colOff>
                    <xdr:row>9</xdr:row>
                    <xdr:rowOff>85725</xdr:rowOff>
                  </to>
                </anchor>
              </controlPr>
            </control>
          </mc:Choice>
        </mc:AlternateContent>
        <mc:AlternateContent xmlns:mc="http://schemas.openxmlformats.org/markup-compatibility/2006">
          <mc:Choice Requires="x14">
            <control shapeId="1166" r:id="rId81" name="Group Box 142">
              <controlPr defaultSize="0" autoFill="0" autoPict="0">
                <anchor moveWithCells="1">
                  <from>
                    <xdr:col>23</xdr:col>
                    <xdr:colOff>466725</xdr:colOff>
                    <xdr:row>7</xdr:row>
                    <xdr:rowOff>266700</xdr:rowOff>
                  </from>
                  <to>
                    <xdr:col>29</xdr:col>
                    <xdr:colOff>485775</xdr:colOff>
                    <xdr:row>9</xdr:row>
                    <xdr:rowOff>104775</xdr:rowOff>
                  </to>
                </anchor>
              </controlPr>
            </control>
          </mc:Choice>
        </mc:AlternateContent>
        <mc:AlternateContent xmlns:mc="http://schemas.openxmlformats.org/markup-compatibility/2006">
          <mc:Choice Requires="x14">
            <control shapeId="1047" r:id="rId82" name="Option Button 23">
              <controlPr defaultSize="0" autoFill="0" autoLine="0" autoPict="0">
                <anchor moveWithCells="1">
                  <from>
                    <xdr:col>13</xdr:col>
                    <xdr:colOff>371475</xdr:colOff>
                    <xdr:row>98</xdr:row>
                    <xdr:rowOff>66675</xdr:rowOff>
                  </from>
                  <to>
                    <xdr:col>16</xdr:col>
                    <xdr:colOff>352425</xdr:colOff>
                    <xdr:row>98</xdr:row>
                    <xdr:rowOff>285750</xdr:rowOff>
                  </to>
                </anchor>
              </controlPr>
            </control>
          </mc:Choice>
        </mc:AlternateContent>
        <mc:AlternateContent xmlns:mc="http://schemas.openxmlformats.org/markup-compatibility/2006">
          <mc:Choice Requires="x14">
            <control shapeId="1068" r:id="rId83" name="Option Button 44">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1089" r:id="rId84" name="Option Button 65">
              <controlPr defaultSize="0" autoFill="0" autoLine="0" autoPict="0">
                <anchor moveWithCells="1">
                  <from>
                    <xdr:col>19</xdr:col>
                    <xdr:colOff>381000</xdr:colOff>
                    <xdr:row>98</xdr:row>
                    <xdr:rowOff>66675</xdr:rowOff>
                  </from>
                  <to>
                    <xdr:col>21</xdr:col>
                    <xdr:colOff>276225</xdr:colOff>
                    <xdr:row>98</xdr:row>
                    <xdr:rowOff>285750</xdr:rowOff>
                  </to>
                </anchor>
              </controlPr>
            </control>
          </mc:Choice>
        </mc:AlternateContent>
        <mc:AlternateContent xmlns:mc="http://schemas.openxmlformats.org/markup-compatibility/2006">
          <mc:Choice Requires="x14">
            <control shapeId="1144" r:id="rId85" name="Group Box 120">
              <controlPr defaultSize="0" autoFill="0" autoPict="0">
                <anchor moveWithCells="1">
                  <from>
                    <xdr:col>12</xdr:col>
                    <xdr:colOff>504825</xdr:colOff>
                    <xdr:row>98</xdr:row>
                    <xdr:rowOff>38100</xdr:rowOff>
                  </from>
                  <to>
                    <xdr:col>25</xdr:col>
                    <xdr:colOff>352425</xdr:colOff>
                    <xdr:row>98</xdr:row>
                    <xdr:rowOff>371475</xdr:rowOff>
                  </to>
                </anchor>
              </controlPr>
            </control>
          </mc:Choice>
        </mc:AlternateContent>
        <mc:AlternateContent xmlns:mc="http://schemas.openxmlformats.org/markup-compatibility/2006">
          <mc:Choice Requires="x14">
            <control shapeId="1167" r:id="rId86" name="Option Button 143">
              <controlPr defaultSize="0" autoFill="0" autoLine="0" autoPict="0">
                <anchor moveWithCells="1">
                  <from>
                    <xdr:col>13</xdr:col>
                    <xdr:colOff>371475</xdr:colOff>
                    <xdr:row>99</xdr:row>
                    <xdr:rowOff>66675</xdr:rowOff>
                  </from>
                  <to>
                    <xdr:col>15</xdr:col>
                    <xdr:colOff>285750</xdr:colOff>
                    <xdr:row>99</xdr:row>
                    <xdr:rowOff>285750</xdr:rowOff>
                  </to>
                </anchor>
              </controlPr>
            </control>
          </mc:Choice>
        </mc:AlternateContent>
        <mc:AlternateContent xmlns:mc="http://schemas.openxmlformats.org/markup-compatibility/2006">
          <mc:Choice Requires="x14">
            <control shapeId="1168" r:id="rId87" name="Option Button 144">
              <controlPr defaultSize="0" autoFill="0" autoLine="0" autoPict="0">
                <anchor moveWithCells="1">
                  <from>
                    <xdr:col>16</xdr:col>
                    <xdr:colOff>371475</xdr:colOff>
                    <xdr:row>99</xdr:row>
                    <xdr:rowOff>66675</xdr:rowOff>
                  </from>
                  <to>
                    <xdr:col>18</xdr:col>
                    <xdr:colOff>571500</xdr:colOff>
                    <xdr:row>99</xdr:row>
                    <xdr:rowOff>285750</xdr:rowOff>
                  </to>
                </anchor>
              </controlPr>
            </control>
          </mc:Choice>
        </mc:AlternateContent>
        <mc:AlternateContent xmlns:mc="http://schemas.openxmlformats.org/markup-compatibility/2006">
          <mc:Choice Requires="x14">
            <control shapeId="1169" r:id="rId88" name="Option Button 145">
              <controlPr defaultSize="0" autoFill="0" autoLine="0" autoPict="0">
                <anchor moveWithCells="1">
                  <from>
                    <xdr:col>19</xdr:col>
                    <xdr:colOff>381000</xdr:colOff>
                    <xdr:row>99</xdr:row>
                    <xdr:rowOff>66675</xdr:rowOff>
                  </from>
                  <to>
                    <xdr:col>21</xdr:col>
                    <xdr:colOff>276225</xdr:colOff>
                    <xdr:row>99</xdr:row>
                    <xdr:rowOff>285750</xdr:rowOff>
                  </to>
                </anchor>
              </controlPr>
            </control>
          </mc:Choice>
        </mc:AlternateContent>
        <mc:AlternateContent xmlns:mc="http://schemas.openxmlformats.org/markup-compatibility/2006">
          <mc:Choice Requires="x14">
            <control shapeId="1170" r:id="rId89" name="Group Box 146">
              <controlPr defaultSize="0" autoFill="0" autoPict="0">
                <anchor moveWithCells="1">
                  <from>
                    <xdr:col>12</xdr:col>
                    <xdr:colOff>504825</xdr:colOff>
                    <xdr:row>99</xdr:row>
                    <xdr:rowOff>38100</xdr:rowOff>
                  </from>
                  <to>
                    <xdr:col>25</xdr:col>
                    <xdr:colOff>352425</xdr:colOff>
                    <xdr:row>99</xdr:row>
                    <xdr:rowOff>371475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EFD05B1-9FD2-4753-96AB-507F4A35A6FF}">
          <x14:formula1>
            <xm:f>産業分類!$B$2:$B$21</xm:f>
          </x14:formula1>
          <xm:sqref>P12:U12</xm:sqref>
        </x14:dataValidation>
        <x14:dataValidation type="list" allowBlank="1" showInputMessage="1" showErrorMessage="1" xr:uid="{0CDDEB56-8123-4B51-9917-388617545C8F}">
          <x14:formula1>
            <xm:f>'プルダウンリスト（エネルギー）'!$A:$A</xm:f>
          </x14:formula1>
          <xm:sqref>E28:I28</xm:sqref>
        </x14:dataValidation>
        <x14:dataValidation type="list" allowBlank="1" showInputMessage="1" showErrorMessage="1" xr:uid="{6252A7C4-04B4-494A-A6FC-D9289ACEB234}">
          <x14:formula1>
            <xm:f>'プルダウンリスト（エネルギー）'!$C:$C</xm:f>
          </x14:formula1>
          <xm:sqref>E34:I34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7CCC-D00C-463A-ADAB-639CCFB960C8}">
  <sheetPr codeName="Sheet6">
    <pageSetUpPr fitToPage="1"/>
  </sheetPr>
  <dimension ref="A1:T80"/>
  <sheetViews>
    <sheetView zoomScale="70" zoomScaleNormal="70" workbookViewId="0">
      <pane ySplit="3" topLeftCell="A4" activePane="bottomLeft" state="frozen"/>
      <selection activeCell="F8" sqref="F8:O8"/>
      <selection pane="bottomLeft" sqref="A1:XFD1048576"/>
    </sheetView>
  </sheetViews>
  <sheetFormatPr defaultColWidth="8.125" defaultRowHeight="18.75"/>
  <cols>
    <col min="1" max="1" width="4.625" style="243" customWidth="1"/>
    <col min="2" max="2" width="46.25" style="243" customWidth="1"/>
    <col min="3" max="3" width="13.375" style="243" customWidth="1"/>
    <col min="4" max="4" width="10.5" style="243" customWidth="1"/>
    <col min="5" max="5" width="11.875" style="243" customWidth="1"/>
    <col min="6" max="6" width="16.625" style="243" customWidth="1"/>
    <col min="7" max="7" width="8.125" style="243"/>
    <col min="8" max="11" width="8.625" style="243" customWidth="1"/>
    <col min="12" max="12" width="3.125" style="243" customWidth="1"/>
    <col min="13" max="13" width="19" style="245" customWidth="1"/>
    <col min="14" max="14" width="20.875" style="245" customWidth="1"/>
    <col min="15" max="15" width="18.875" style="243" customWidth="1"/>
    <col min="16" max="16" width="33.75" style="243" customWidth="1"/>
    <col min="17" max="17" width="39.375" style="243" customWidth="1"/>
    <col min="18" max="18" width="11.25" style="243" customWidth="1"/>
    <col min="19" max="19" width="15.625" style="243" customWidth="1"/>
    <col min="20" max="16384" width="8.125" style="243"/>
  </cols>
  <sheetData>
    <row r="1" spans="1:19" ht="22.5">
      <c r="A1" s="242" t="s">
        <v>4053</v>
      </c>
      <c r="M1" s="244" t="s">
        <v>4274</v>
      </c>
    </row>
    <row r="2" spans="1:19">
      <c r="A2" s="246" t="s">
        <v>4041</v>
      </c>
      <c r="B2" s="246"/>
      <c r="C2" s="246"/>
      <c r="D2" s="247"/>
      <c r="E2" s="247"/>
      <c r="F2" s="247"/>
      <c r="G2" s="247"/>
      <c r="H2" s="247"/>
      <c r="I2" s="247"/>
      <c r="J2" s="247"/>
      <c r="K2" s="247"/>
      <c r="L2" s="248"/>
      <c r="M2" s="244" t="s">
        <v>4076</v>
      </c>
      <c r="N2" s="244" t="s">
        <v>4076</v>
      </c>
      <c r="O2" s="244" t="s">
        <v>4076</v>
      </c>
      <c r="P2" s="245" t="s">
        <v>4077</v>
      </c>
      <c r="Q2" s="245" t="s">
        <v>4077</v>
      </c>
      <c r="R2" s="661" t="s">
        <v>4077</v>
      </c>
      <c r="S2" s="661"/>
    </row>
    <row r="3" spans="1:19" ht="60.95" customHeight="1">
      <c r="A3" s="249"/>
      <c r="B3" s="250" t="s">
        <v>3894</v>
      </c>
      <c r="C3" s="250" t="s">
        <v>3895</v>
      </c>
      <c r="D3" s="251" t="s">
        <v>3899</v>
      </c>
      <c r="E3" s="251"/>
      <c r="F3" s="252"/>
      <c r="G3" s="253" t="s">
        <v>3896</v>
      </c>
      <c r="H3" s="254" t="s">
        <v>3897</v>
      </c>
      <c r="I3" s="255"/>
      <c r="J3" s="254" t="s">
        <v>3898</v>
      </c>
      <c r="K3" s="256"/>
      <c r="L3" s="257"/>
      <c r="M3" s="258" t="s">
        <v>4114</v>
      </c>
      <c r="N3" s="245" t="s">
        <v>4045</v>
      </c>
      <c r="O3" s="258" t="s">
        <v>4054</v>
      </c>
      <c r="P3" s="258" t="s">
        <v>4056</v>
      </c>
      <c r="Q3" s="245" t="s">
        <v>4075</v>
      </c>
      <c r="R3" s="661" t="s">
        <v>3</v>
      </c>
      <c r="S3" s="661"/>
    </row>
    <row r="4" spans="1:19" ht="17.45" customHeight="1">
      <c r="A4" s="687" t="s">
        <v>3900</v>
      </c>
      <c r="B4" s="259" t="s">
        <v>3901</v>
      </c>
      <c r="C4" s="260" t="s">
        <v>3902</v>
      </c>
      <c r="D4" s="261" t="s">
        <v>3901</v>
      </c>
      <c r="E4" s="261"/>
      <c r="F4" s="261"/>
      <c r="G4" s="262" t="s">
        <v>3903</v>
      </c>
      <c r="H4" s="263">
        <v>38.299999999999997</v>
      </c>
      <c r="I4" s="264" t="s">
        <v>3904</v>
      </c>
      <c r="J4" s="265">
        <v>1.9E-2</v>
      </c>
      <c r="K4" s="266" t="s">
        <v>3905</v>
      </c>
      <c r="M4" s="245" t="s">
        <v>26</v>
      </c>
      <c r="N4" s="245" t="s">
        <v>4052</v>
      </c>
      <c r="P4" s="243" t="str">
        <f>IF(N4="プルダウン",B4,"")</f>
        <v/>
      </c>
      <c r="Q4" s="243" t="str">
        <f>IF(N4="代表的なエネルギー",O4,IF(N4="プルダウン",P4,""))</f>
        <v/>
      </c>
      <c r="R4" s="267">
        <f>IFERROR(H4*J4*44/12,"")</f>
        <v>2.6682333333333332</v>
      </c>
      <c r="S4" s="243" t="str">
        <f>"t-CO2/"&amp;G4</f>
        <v>t-CO2/kl</v>
      </c>
    </row>
    <row r="5" spans="1:19">
      <c r="A5" s="688"/>
      <c r="B5" s="268" t="s">
        <v>3906</v>
      </c>
      <c r="C5" s="269" t="s">
        <v>3902</v>
      </c>
      <c r="D5" s="270" t="s">
        <v>3906</v>
      </c>
      <c r="E5" s="270"/>
      <c r="F5" s="270"/>
      <c r="G5" s="271" t="s">
        <v>3903</v>
      </c>
      <c r="H5" s="272">
        <v>34.799999999999997</v>
      </c>
      <c r="I5" s="273" t="s">
        <v>3904</v>
      </c>
      <c r="J5" s="274">
        <v>1.83E-2</v>
      </c>
      <c r="K5" s="275" t="s">
        <v>3905</v>
      </c>
      <c r="M5" s="245" t="s">
        <v>26</v>
      </c>
      <c r="N5" s="245" t="s">
        <v>4052</v>
      </c>
      <c r="P5" s="243" t="str">
        <f t="shared" ref="P5:P68" si="0">IF(N5="プルダウン",B5,"")</f>
        <v/>
      </c>
      <c r="Q5" s="243" t="str">
        <f t="shared" ref="Q5:Q68" si="1">IF(N5="代表的なエネルギー",O5,IF(N5="プルダウン",P5,""))</f>
        <v/>
      </c>
      <c r="R5" s="267">
        <f t="shared" ref="R5:R68" si="2">IFERROR(H5*J5*44/12,"")</f>
        <v>2.33508</v>
      </c>
      <c r="S5" s="243" t="str">
        <f t="shared" ref="S5:S68" si="3">"t-CO2/"&amp;G5</f>
        <v>t-CO2/kl</v>
      </c>
    </row>
    <row r="6" spans="1:19">
      <c r="A6" s="688"/>
      <c r="B6" s="268" t="s">
        <v>3908</v>
      </c>
      <c r="C6" s="269" t="s">
        <v>3902</v>
      </c>
      <c r="D6" s="276" t="s">
        <v>3907</v>
      </c>
      <c r="E6" s="276"/>
      <c r="F6" s="276"/>
      <c r="G6" s="277" t="s">
        <v>3903</v>
      </c>
      <c r="H6" s="278">
        <v>33.4</v>
      </c>
      <c r="I6" s="279" t="s">
        <v>3904</v>
      </c>
      <c r="J6" s="280">
        <v>1.8700000000000001E-2</v>
      </c>
      <c r="K6" s="281" t="s">
        <v>3905</v>
      </c>
      <c r="M6" s="245" t="s">
        <v>26</v>
      </c>
      <c r="N6" s="245" t="s">
        <v>4044</v>
      </c>
      <c r="O6" s="243" t="s">
        <v>7</v>
      </c>
      <c r="P6" s="243" t="str">
        <f t="shared" si="0"/>
        <v/>
      </c>
      <c r="Q6" s="243" t="str">
        <f t="shared" si="1"/>
        <v>ガソリン</v>
      </c>
      <c r="R6" s="267">
        <f t="shared" si="2"/>
        <v>2.2901266666666666</v>
      </c>
      <c r="S6" s="243" t="str">
        <f t="shared" si="3"/>
        <v>t-CO2/kl</v>
      </c>
    </row>
    <row r="7" spans="1:19">
      <c r="A7" s="688"/>
      <c r="B7" s="268" t="s">
        <v>3909</v>
      </c>
      <c r="C7" s="269" t="s">
        <v>3902</v>
      </c>
      <c r="D7" s="276" t="s">
        <v>3909</v>
      </c>
      <c r="E7" s="276"/>
      <c r="F7" s="276"/>
      <c r="G7" s="277" t="s">
        <v>3903</v>
      </c>
      <c r="H7" s="278">
        <v>33.299999999999997</v>
      </c>
      <c r="I7" s="279" t="s">
        <v>3904</v>
      </c>
      <c r="J7" s="280">
        <v>1.8599999999999998E-2</v>
      </c>
      <c r="K7" s="281" t="s">
        <v>3905</v>
      </c>
      <c r="M7" s="245" t="s">
        <v>26</v>
      </c>
      <c r="N7" s="245" t="s">
        <v>4052</v>
      </c>
      <c r="P7" s="243" t="str">
        <f t="shared" si="0"/>
        <v/>
      </c>
      <c r="Q7" s="243" t="str">
        <f t="shared" si="1"/>
        <v/>
      </c>
      <c r="R7" s="267">
        <f t="shared" si="2"/>
        <v>2.2710599999999999</v>
      </c>
      <c r="S7" s="243" t="str">
        <f t="shared" si="3"/>
        <v>t-CO2/kl</v>
      </c>
    </row>
    <row r="8" spans="1:19">
      <c r="A8" s="688"/>
      <c r="B8" s="268" t="s">
        <v>3911</v>
      </c>
      <c r="C8" s="269" t="s">
        <v>3902</v>
      </c>
      <c r="D8" s="276" t="s">
        <v>3910</v>
      </c>
      <c r="E8" s="276"/>
      <c r="F8" s="276"/>
      <c r="G8" s="277" t="s">
        <v>3903</v>
      </c>
      <c r="H8" s="278">
        <v>36.299999999999997</v>
      </c>
      <c r="I8" s="279" t="s">
        <v>3904</v>
      </c>
      <c r="J8" s="280">
        <v>1.8599999999999998E-2</v>
      </c>
      <c r="K8" s="281" t="s">
        <v>3905</v>
      </c>
      <c r="M8" s="245" t="s">
        <v>26</v>
      </c>
      <c r="N8" s="245" t="s">
        <v>4052</v>
      </c>
      <c r="P8" s="243" t="str">
        <f t="shared" si="0"/>
        <v/>
      </c>
      <c r="Q8" s="243" t="str">
        <f t="shared" si="1"/>
        <v/>
      </c>
      <c r="R8" s="267">
        <f t="shared" si="2"/>
        <v>2.4756599999999995</v>
      </c>
      <c r="S8" s="243" t="str">
        <f t="shared" si="3"/>
        <v>t-CO2/kl</v>
      </c>
    </row>
    <row r="9" spans="1:19">
      <c r="A9" s="688"/>
      <c r="B9" s="268" t="s">
        <v>3912</v>
      </c>
      <c r="C9" s="269" t="s">
        <v>3902</v>
      </c>
      <c r="D9" s="276" t="s">
        <v>3912</v>
      </c>
      <c r="E9" s="276"/>
      <c r="F9" s="276"/>
      <c r="G9" s="277" t="s">
        <v>3903</v>
      </c>
      <c r="H9" s="278">
        <v>36.5</v>
      </c>
      <c r="I9" s="279" t="s">
        <v>3904</v>
      </c>
      <c r="J9" s="280">
        <v>1.8700000000000001E-2</v>
      </c>
      <c r="K9" s="281" t="s">
        <v>3905</v>
      </c>
      <c r="M9" s="245" t="s">
        <v>26</v>
      </c>
      <c r="N9" s="245" t="s">
        <v>4052</v>
      </c>
      <c r="P9" s="243" t="str">
        <f t="shared" si="0"/>
        <v/>
      </c>
      <c r="Q9" s="243" t="str">
        <f t="shared" si="1"/>
        <v/>
      </c>
      <c r="R9" s="267">
        <f t="shared" si="2"/>
        <v>2.5026833333333336</v>
      </c>
      <c r="S9" s="243" t="str">
        <f t="shared" si="3"/>
        <v>t-CO2/kl</v>
      </c>
    </row>
    <row r="10" spans="1:19">
      <c r="A10" s="688"/>
      <c r="B10" s="268" t="s">
        <v>3913</v>
      </c>
      <c r="C10" s="269" t="s">
        <v>3902</v>
      </c>
      <c r="D10" s="276" t="s">
        <v>3913</v>
      </c>
      <c r="E10" s="276"/>
      <c r="F10" s="276"/>
      <c r="G10" s="277" t="s">
        <v>3903</v>
      </c>
      <c r="H10" s="278">
        <v>38</v>
      </c>
      <c r="I10" s="279" t="s">
        <v>3904</v>
      </c>
      <c r="J10" s="280">
        <v>1.8800000000000001E-2</v>
      </c>
      <c r="K10" s="281" t="s">
        <v>3905</v>
      </c>
      <c r="M10" s="245" t="s">
        <v>26</v>
      </c>
      <c r="N10" s="245" t="s">
        <v>4044</v>
      </c>
      <c r="O10" s="243" t="s">
        <v>22</v>
      </c>
      <c r="P10" s="243" t="str">
        <f t="shared" si="0"/>
        <v/>
      </c>
      <c r="Q10" s="243" t="str">
        <f t="shared" si="1"/>
        <v>軽油</v>
      </c>
      <c r="R10" s="267">
        <f t="shared" si="2"/>
        <v>2.6194666666666668</v>
      </c>
      <c r="S10" s="243" t="str">
        <f t="shared" si="3"/>
        <v>t-CO2/kl</v>
      </c>
    </row>
    <row r="11" spans="1:19">
      <c r="A11" s="688"/>
      <c r="B11" s="268" t="s">
        <v>4055</v>
      </c>
      <c r="C11" s="269" t="s">
        <v>3902</v>
      </c>
      <c r="D11" s="276" t="s">
        <v>3914</v>
      </c>
      <c r="E11" s="276"/>
      <c r="F11" s="276"/>
      <c r="G11" s="277" t="s">
        <v>3903</v>
      </c>
      <c r="H11" s="278">
        <v>38.9</v>
      </c>
      <c r="I11" s="279" t="s">
        <v>3904</v>
      </c>
      <c r="J11" s="280">
        <v>1.9300000000000001E-2</v>
      </c>
      <c r="K11" s="281" t="s">
        <v>3905</v>
      </c>
      <c r="M11" s="245" t="s">
        <v>26</v>
      </c>
      <c r="N11" s="245" t="s">
        <v>4052</v>
      </c>
      <c r="P11" s="243" t="str">
        <f t="shared" si="0"/>
        <v/>
      </c>
      <c r="Q11" s="243" t="str">
        <f t="shared" si="1"/>
        <v/>
      </c>
      <c r="R11" s="267">
        <f t="shared" si="2"/>
        <v>2.7528233333333336</v>
      </c>
      <c r="S11" s="243" t="str">
        <f t="shared" si="3"/>
        <v>t-CO2/kl</v>
      </c>
    </row>
    <row r="12" spans="1:19">
      <c r="A12" s="688"/>
      <c r="B12" s="268" t="s">
        <v>3915</v>
      </c>
      <c r="C12" s="269" t="s">
        <v>3902</v>
      </c>
      <c r="D12" s="276" t="s">
        <v>3915</v>
      </c>
      <c r="E12" s="276"/>
      <c r="F12" s="276"/>
      <c r="G12" s="277" t="s">
        <v>3903</v>
      </c>
      <c r="H12" s="278">
        <v>41.8</v>
      </c>
      <c r="I12" s="279" t="s">
        <v>3904</v>
      </c>
      <c r="J12" s="280">
        <v>2.0199999999999999E-2</v>
      </c>
      <c r="K12" s="281" t="s">
        <v>3905</v>
      </c>
      <c r="M12" s="245" t="s">
        <v>26</v>
      </c>
      <c r="N12" s="245" t="s">
        <v>4052</v>
      </c>
      <c r="P12" s="243" t="str">
        <f t="shared" si="0"/>
        <v/>
      </c>
      <c r="Q12" s="243" t="str">
        <f t="shared" si="1"/>
        <v/>
      </c>
      <c r="R12" s="267">
        <f t="shared" si="2"/>
        <v>3.0959866666666662</v>
      </c>
      <c r="S12" s="243" t="str">
        <f t="shared" si="3"/>
        <v>t-CO2/kl</v>
      </c>
    </row>
    <row r="13" spans="1:19">
      <c r="A13" s="688"/>
      <c r="B13" s="268" t="s">
        <v>3916</v>
      </c>
      <c r="C13" s="269" t="s">
        <v>3902</v>
      </c>
      <c r="D13" s="276" t="s">
        <v>3916</v>
      </c>
      <c r="E13" s="276"/>
      <c r="F13" s="276"/>
      <c r="G13" s="277" t="s">
        <v>3917</v>
      </c>
      <c r="H13" s="278">
        <v>40</v>
      </c>
      <c r="I13" s="279" t="s">
        <v>3918</v>
      </c>
      <c r="J13" s="280">
        <v>2.0400000000000001E-2</v>
      </c>
      <c r="K13" s="281" t="s">
        <v>3905</v>
      </c>
      <c r="M13" s="245" t="s">
        <v>4042</v>
      </c>
      <c r="N13" s="245" t="s">
        <v>4052</v>
      </c>
      <c r="P13" s="243" t="str">
        <f t="shared" si="0"/>
        <v/>
      </c>
      <c r="Q13" s="243" t="str">
        <f t="shared" si="1"/>
        <v/>
      </c>
      <c r="R13" s="267">
        <f t="shared" si="2"/>
        <v>2.9920000000000004</v>
      </c>
      <c r="S13" s="243" t="str">
        <f t="shared" si="3"/>
        <v>t-CO2/t</v>
      </c>
    </row>
    <row r="14" spans="1:19">
      <c r="A14" s="688"/>
      <c r="B14" s="268" t="s">
        <v>3919</v>
      </c>
      <c r="C14" s="269" t="s">
        <v>3902</v>
      </c>
      <c r="D14" s="276" t="s">
        <v>3919</v>
      </c>
      <c r="E14" s="276"/>
      <c r="F14" s="276"/>
      <c r="G14" s="277" t="s">
        <v>3917</v>
      </c>
      <c r="H14" s="278">
        <v>34.1</v>
      </c>
      <c r="I14" s="279" t="s">
        <v>3918</v>
      </c>
      <c r="J14" s="280">
        <v>2.4500000000000001E-2</v>
      </c>
      <c r="K14" s="281" t="s">
        <v>3905</v>
      </c>
      <c r="M14" s="245" t="s">
        <v>4042</v>
      </c>
      <c r="N14" s="245" t="s">
        <v>4052</v>
      </c>
      <c r="P14" s="243" t="str">
        <f t="shared" si="0"/>
        <v/>
      </c>
      <c r="Q14" s="243" t="str">
        <f t="shared" si="1"/>
        <v/>
      </c>
      <c r="R14" s="267">
        <f t="shared" si="2"/>
        <v>3.0633166666666667</v>
      </c>
      <c r="S14" s="243" t="str">
        <f t="shared" si="3"/>
        <v>t-CO2/t</v>
      </c>
    </row>
    <row r="15" spans="1:19">
      <c r="A15" s="688"/>
      <c r="B15" s="268" t="s">
        <v>4270</v>
      </c>
      <c r="C15" s="269" t="s">
        <v>3902</v>
      </c>
      <c r="D15" s="690" t="s">
        <v>3920</v>
      </c>
      <c r="E15" s="282" t="s">
        <v>3921</v>
      </c>
      <c r="F15" s="276"/>
      <c r="G15" s="277" t="s">
        <v>3917</v>
      </c>
      <c r="H15" s="278">
        <v>50.1</v>
      </c>
      <c r="I15" s="279" t="s">
        <v>3918</v>
      </c>
      <c r="J15" s="280">
        <v>1.6299999999999999E-2</v>
      </c>
      <c r="K15" s="281" t="s">
        <v>3905</v>
      </c>
      <c r="M15" s="244" t="s">
        <v>26</v>
      </c>
      <c r="N15" s="245" t="s">
        <v>4044</v>
      </c>
      <c r="O15" s="243" t="s">
        <v>4270</v>
      </c>
      <c r="P15" s="243" t="str">
        <f t="shared" si="0"/>
        <v/>
      </c>
      <c r="Q15" s="243" t="str">
        <f t="shared" si="1"/>
        <v>液化石油ガス(LPG)</v>
      </c>
      <c r="R15" s="267">
        <f t="shared" si="2"/>
        <v>2.99431</v>
      </c>
      <c r="S15" s="243" t="str">
        <f t="shared" si="3"/>
        <v>t-CO2/t</v>
      </c>
    </row>
    <row r="16" spans="1:19" ht="18" customHeight="1">
      <c r="A16" s="688"/>
      <c r="B16" s="268" t="s">
        <v>3922</v>
      </c>
      <c r="C16" s="269" t="s">
        <v>3902</v>
      </c>
      <c r="D16" s="691"/>
      <c r="E16" s="282" t="s">
        <v>3923</v>
      </c>
      <c r="F16" s="276"/>
      <c r="G16" s="283" t="s">
        <v>4153</v>
      </c>
      <c r="H16" s="278">
        <v>46.1</v>
      </c>
      <c r="I16" s="279" t="s">
        <v>3924</v>
      </c>
      <c r="J16" s="280">
        <v>1.44E-2</v>
      </c>
      <c r="K16" s="281" t="s">
        <v>3905</v>
      </c>
      <c r="M16" s="245" t="s">
        <v>25</v>
      </c>
      <c r="N16" s="245" t="s">
        <v>4052</v>
      </c>
      <c r="P16" s="243" t="str">
        <f t="shared" si="0"/>
        <v/>
      </c>
      <c r="Q16" s="243" t="str">
        <f t="shared" si="1"/>
        <v/>
      </c>
      <c r="R16" s="267">
        <f t="shared" si="2"/>
        <v>2.4340799999999998</v>
      </c>
      <c r="S16" s="243" t="str">
        <f t="shared" si="3"/>
        <v>t-CO2/千m3</v>
      </c>
    </row>
    <row r="17" spans="1:20" ht="17.45" customHeight="1">
      <c r="A17" s="688"/>
      <c r="B17" s="268" t="s">
        <v>4269</v>
      </c>
      <c r="C17" s="269" t="s">
        <v>3902</v>
      </c>
      <c r="D17" s="690" t="s">
        <v>3926</v>
      </c>
      <c r="E17" s="282" t="s">
        <v>3925</v>
      </c>
      <c r="F17" s="276"/>
      <c r="G17" s="277" t="s">
        <v>3917</v>
      </c>
      <c r="H17" s="278">
        <v>54.7</v>
      </c>
      <c r="I17" s="279" t="s">
        <v>3918</v>
      </c>
      <c r="J17" s="280">
        <v>1.3899999999999999E-2</v>
      </c>
      <c r="K17" s="281" t="s">
        <v>3905</v>
      </c>
      <c r="M17" s="245" t="s">
        <v>4042</v>
      </c>
      <c r="N17" s="245" t="s">
        <v>4046</v>
      </c>
      <c r="P17" s="243" t="str">
        <f>IF(N17="プルダウン",B17,"")</f>
        <v>液化天然ガス(LNG)</v>
      </c>
      <c r="Q17" s="243" t="str">
        <f t="shared" si="1"/>
        <v>液化天然ガス(LNG)</v>
      </c>
      <c r="R17" s="267">
        <f t="shared" si="2"/>
        <v>2.7878766666666661</v>
      </c>
      <c r="S17" s="243" t="str">
        <f t="shared" si="3"/>
        <v>t-CO2/t</v>
      </c>
    </row>
    <row r="18" spans="1:20" ht="20.25">
      <c r="A18" s="688"/>
      <c r="B18" s="268" t="s">
        <v>3927</v>
      </c>
      <c r="C18" s="269" t="s">
        <v>3902</v>
      </c>
      <c r="D18" s="691"/>
      <c r="E18" s="282" t="s">
        <v>3927</v>
      </c>
      <c r="F18" s="276"/>
      <c r="G18" s="283" t="s">
        <v>4153</v>
      </c>
      <c r="H18" s="278">
        <v>38.4</v>
      </c>
      <c r="I18" s="279" t="s">
        <v>3924</v>
      </c>
      <c r="J18" s="280">
        <v>1.3899999999999999E-2</v>
      </c>
      <c r="K18" s="281" t="s">
        <v>3905</v>
      </c>
      <c r="M18" s="245" t="s">
        <v>25</v>
      </c>
      <c r="N18" s="245" t="s">
        <v>4052</v>
      </c>
      <c r="P18" s="243" t="str">
        <f t="shared" si="0"/>
        <v/>
      </c>
      <c r="Q18" s="243" t="str">
        <f t="shared" si="1"/>
        <v/>
      </c>
      <c r="R18" s="267">
        <f t="shared" si="2"/>
        <v>1.9571199999999997</v>
      </c>
      <c r="S18" s="243" t="str">
        <f t="shared" si="3"/>
        <v>t-CO2/千m3</v>
      </c>
    </row>
    <row r="19" spans="1:20">
      <c r="A19" s="688"/>
      <c r="B19" s="268" t="s">
        <v>3930</v>
      </c>
      <c r="C19" s="269" t="s">
        <v>3902</v>
      </c>
      <c r="D19" s="692" t="s">
        <v>3928</v>
      </c>
      <c r="E19" s="668" t="s">
        <v>3929</v>
      </c>
      <c r="F19" s="282" t="s">
        <v>3930</v>
      </c>
      <c r="G19" s="277" t="s">
        <v>3917</v>
      </c>
      <c r="H19" s="278">
        <v>28.7</v>
      </c>
      <c r="I19" s="279" t="s">
        <v>3918</v>
      </c>
      <c r="J19" s="280">
        <v>2.46E-2</v>
      </c>
      <c r="K19" s="281" t="s">
        <v>3905</v>
      </c>
      <c r="M19" s="245" t="s">
        <v>4042</v>
      </c>
      <c r="N19" s="245" t="s">
        <v>4052</v>
      </c>
      <c r="P19" s="243" t="str">
        <f t="shared" si="0"/>
        <v/>
      </c>
      <c r="Q19" s="243" t="str">
        <f t="shared" si="1"/>
        <v/>
      </c>
      <c r="R19" s="267">
        <f t="shared" si="2"/>
        <v>2.58874</v>
      </c>
      <c r="S19" s="243" t="str">
        <f t="shared" si="3"/>
        <v>t-CO2/t</v>
      </c>
    </row>
    <row r="20" spans="1:20">
      <c r="A20" s="688"/>
      <c r="B20" s="268" t="s">
        <v>3931</v>
      </c>
      <c r="C20" s="269" t="s">
        <v>3902</v>
      </c>
      <c r="D20" s="693"/>
      <c r="E20" s="669"/>
      <c r="F20" s="282" t="s">
        <v>3931</v>
      </c>
      <c r="G20" s="277" t="s">
        <v>3917</v>
      </c>
      <c r="H20" s="278">
        <v>28.9</v>
      </c>
      <c r="I20" s="279" t="s">
        <v>3918</v>
      </c>
      <c r="J20" s="280">
        <v>2.4500000000000001E-2</v>
      </c>
      <c r="K20" s="281" t="s">
        <v>3905</v>
      </c>
      <c r="M20" s="245" t="s">
        <v>4042</v>
      </c>
      <c r="N20" s="245" t="s">
        <v>4052</v>
      </c>
      <c r="P20" s="243" t="str">
        <f t="shared" si="0"/>
        <v/>
      </c>
      <c r="Q20" s="243" t="str">
        <f t="shared" si="1"/>
        <v/>
      </c>
      <c r="R20" s="267">
        <f t="shared" si="2"/>
        <v>2.5961833333333333</v>
      </c>
      <c r="S20" s="243" t="str">
        <f t="shared" si="3"/>
        <v>t-CO2/t</v>
      </c>
    </row>
    <row r="21" spans="1:20">
      <c r="A21" s="688"/>
      <c r="B21" s="268" t="s">
        <v>3933</v>
      </c>
      <c r="C21" s="269" t="s">
        <v>3902</v>
      </c>
      <c r="D21" s="693"/>
      <c r="E21" s="670"/>
      <c r="F21" s="282" t="s">
        <v>3933</v>
      </c>
      <c r="G21" s="277" t="s">
        <v>3917</v>
      </c>
      <c r="H21" s="278">
        <v>28.3</v>
      </c>
      <c r="I21" s="279" t="s">
        <v>3918</v>
      </c>
      <c r="J21" s="280">
        <v>2.5100000000000001E-2</v>
      </c>
      <c r="K21" s="281" t="s">
        <v>3905</v>
      </c>
      <c r="M21" s="245" t="s">
        <v>4042</v>
      </c>
      <c r="N21" s="245" t="s">
        <v>4052</v>
      </c>
      <c r="P21" s="243" t="str">
        <f t="shared" si="0"/>
        <v/>
      </c>
      <c r="Q21" s="243" t="str">
        <f t="shared" si="1"/>
        <v/>
      </c>
      <c r="R21" s="267">
        <f t="shared" si="2"/>
        <v>2.6045433333333334</v>
      </c>
      <c r="S21" s="243" t="str">
        <f t="shared" si="3"/>
        <v>t-CO2/t</v>
      </c>
    </row>
    <row r="22" spans="1:20">
      <c r="A22" s="688"/>
      <c r="B22" s="268" t="s">
        <v>3935</v>
      </c>
      <c r="C22" s="269" t="s">
        <v>3902</v>
      </c>
      <c r="D22" s="693"/>
      <c r="E22" s="668" t="s">
        <v>3934</v>
      </c>
      <c r="F22" s="282" t="s">
        <v>3935</v>
      </c>
      <c r="G22" s="277" t="s">
        <v>3917</v>
      </c>
      <c r="H22" s="278">
        <v>26.1</v>
      </c>
      <c r="I22" s="279" t="s">
        <v>3918</v>
      </c>
      <c r="J22" s="280">
        <v>2.4299999999999999E-2</v>
      </c>
      <c r="K22" s="281" t="s">
        <v>3905</v>
      </c>
      <c r="M22" s="245" t="s">
        <v>4042</v>
      </c>
      <c r="N22" s="245" t="s">
        <v>4052</v>
      </c>
      <c r="P22" s="243" t="str">
        <f t="shared" si="0"/>
        <v/>
      </c>
      <c r="Q22" s="243" t="str">
        <f t="shared" si="1"/>
        <v/>
      </c>
      <c r="R22" s="267">
        <f t="shared" si="2"/>
        <v>2.32551</v>
      </c>
      <c r="S22" s="243" t="str">
        <f t="shared" si="3"/>
        <v>t-CO2/t</v>
      </c>
    </row>
    <row r="23" spans="1:20">
      <c r="A23" s="688"/>
      <c r="B23" s="268" t="s">
        <v>3936</v>
      </c>
      <c r="C23" s="269" t="s">
        <v>3902</v>
      </c>
      <c r="D23" s="693"/>
      <c r="E23" s="670"/>
      <c r="F23" s="282" t="s">
        <v>3936</v>
      </c>
      <c r="G23" s="277" t="s">
        <v>3917</v>
      </c>
      <c r="H23" s="278">
        <v>24.2</v>
      </c>
      <c r="I23" s="279" t="s">
        <v>3918</v>
      </c>
      <c r="J23" s="280">
        <v>2.4199999999999999E-2</v>
      </c>
      <c r="K23" s="281" t="s">
        <v>3905</v>
      </c>
      <c r="M23" s="245" t="s">
        <v>4042</v>
      </c>
      <c r="N23" s="245" t="s">
        <v>4052</v>
      </c>
      <c r="P23" s="243" t="str">
        <f t="shared" si="0"/>
        <v/>
      </c>
      <c r="Q23" s="243" t="str">
        <f t="shared" si="1"/>
        <v/>
      </c>
      <c r="R23" s="267">
        <f t="shared" si="2"/>
        <v>2.1473466666666665</v>
      </c>
      <c r="S23" s="243" t="str">
        <f t="shared" si="3"/>
        <v>t-CO2/t</v>
      </c>
    </row>
    <row r="24" spans="1:20">
      <c r="A24" s="688"/>
      <c r="B24" s="268" t="s">
        <v>3937</v>
      </c>
      <c r="C24" s="269" t="s">
        <v>3902</v>
      </c>
      <c r="D24" s="694"/>
      <c r="E24" s="284" t="s">
        <v>3937</v>
      </c>
      <c r="F24" s="285"/>
      <c r="G24" s="277" t="s">
        <v>3917</v>
      </c>
      <c r="H24" s="278">
        <v>27.8</v>
      </c>
      <c r="I24" s="279" t="s">
        <v>3918</v>
      </c>
      <c r="J24" s="280">
        <v>2.5899999999999999E-2</v>
      </c>
      <c r="K24" s="281" t="s">
        <v>3905</v>
      </c>
      <c r="M24" s="245" t="s">
        <v>4042</v>
      </c>
      <c r="N24" s="245" t="s">
        <v>4052</v>
      </c>
      <c r="P24" s="243" t="str">
        <f t="shared" si="0"/>
        <v/>
      </c>
      <c r="Q24" s="243" t="str">
        <f t="shared" si="1"/>
        <v/>
      </c>
      <c r="R24" s="267">
        <f t="shared" si="2"/>
        <v>2.640073333333333</v>
      </c>
      <c r="S24" s="243" t="str">
        <f t="shared" si="3"/>
        <v>t-CO2/t</v>
      </c>
    </row>
    <row r="25" spans="1:20">
      <c r="A25" s="688"/>
      <c r="B25" s="268" t="s">
        <v>3938</v>
      </c>
      <c r="C25" s="269" t="s">
        <v>3902</v>
      </c>
      <c r="D25" s="276" t="s">
        <v>3938</v>
      </c>
      <c r="E25" s="270"/>
      <c r="F25" s="270"/>
      <c r="G25" s="277" t="s">
        <v>3917</v>
      </c>
      <c r="H25" s="278">
        <v>29</v>
      </c>
      <c r="I25" s="279" t="s">
        <v>3918</v>
      </c>
      <c r="J25" s="280">
        <v>2.9899999999999999E-2</v>
      </c>
      <c r="K25" s="281" t="s">
        <v>3905</v>
      </c>
      <c r="M25" s="245" t="s">
        <v>4042</v>
      </c>
      <c r="N25" s="245" t="s">
        <v>4052</v>
      </c>
      <c r="P25" s="243" t="str">
        <f t="shared" si="0"/>
        <v/>
      </c>
      <c r="Q25" s="243" t="str">
        <f t="shared" si="1"/>
        <v/>
      </c>
      <c r="R25" s="267">
        <f t="shared" si="2"/>
        <v>3.1793666666666667</v>
      </c>
      <c r="S25" s="243" t="str">
        <f t="shared" si="3"/>
        <v>t-CO2/t</v>
      </c>
    </row>
    <row r="26" spans="1:20">
      <c r="A26" s="688"/>
      <c r="B26" s="268" t="s">
        <v>3939</v>
      </c>
      <c r="C26" s="269" t="s">
        <v>3902</v>
      </c>
      <c r="D26" s="276" t="s">
        <v>3939</v>
      </c>
      <c r="E26" s="276"/>
      <c r="F26" s="276"/>
      <c r="G26" s="277" t="s">
        <v>3917</v>
      </c>
      <c r="H26" s="278">
        <v>37.299999999999997</v>
      </c>
      <c r="I26" s="279" t="s">
        <v>3918</v>
      </c>
      <c r="J26" s="280">
        <v>2.0899999999999998E-2</v>
      </c>
      <c r="K26" s="281" t="s">
        <v>3905</v>
      </c>
      <c r="M26" s="245" t="s">
        <v>4042</v>
      </c>
      <c r="N26" s="245" t="s">
        <v>4052</v>
      </c>
      <c r="P26" s="243" t="str">
        <f t="shared" si="0"/>
        <v/>
      </c>
      <c r="Q26" s="243" t="str">
        <f t="shared" si="1"/>
        <v/>
      </c>
      <c r="R26" s="267">
        <f t="shared" si="2"/>
        <v>2.8584233333333326</v>
      </c>
      <c r="S26" s="243" t="str">
        <f t="shared" si="3"/>
        <v>t-CO2/t</v>
      </c>
    </row>
    <row r="27" spans="1:20" ht="20.25">
      <c r="A27" s="688"/>
      <c r="B27" s="268" t="s">
        <v>3940</v>
      </c>
      <c r="C27" s="269" t="s">
        <v>3902</v>
      </c>
      <c r="D27" s="276" t="s">
        <v>3940</v>
      </c>
      <c r="E27" s="276"/>
      <c r="F27" s="276"/>
      <c r="G27" s="283" t="s">
        <v>4153</v>
      </c>
      <c r="H27" s="278">
        <v>18.399999999999999</v>
      </c>
      <c r="I27" s="279" t="s">
        <v>3924</v>
      </c>
      <c r="J27" s="280">
        <v>1.09E-2</v>
      </c>
      <c r="K27" s="281" t="s">
        <v>3905</v>
      </c>
      <c r="M27" s="245" t="s">
        <v>25</v>
      </c>
      <c r="N27" s="245" t="s">
        <v>4052</v>
      </c>
      <c r="P27" s="243" t="str">
        <f t="shared" si="0"/>
        <v/>
      </c>
      <c r="Q27" s="243" t="str">
        <f t="shared" si="1"/>
        <v/>
      </c>
      <c r="R27" s="267">
        <f t="shared" si="2"/>
        <v>0.73538666666666652</v>
      </c>
      <c r="S27" s="243" t="str">
        <f t="shared" si="3"/>
        <v>t-CO2/千m3</v>
      </c>
    </row>
    <row r="28" spans="1:20" ht="20.25">
      <c r="A28" s="688"/>
      <c r="B28" s="268" t="s">
        <v>3941</v>
      </c>
      <c r="C28" s="269" t="s">
        <v>3902</v>
      </c>
      <c r="D28" s="276" t="s">
        <v>3941</v>
      </c>
      <c r="E28" s="276"/>
      <c r="F28" s="276"/>
      <c r="G28" s="283" t="s">
        <v>4153</v>
      </c>
      <c r="H28" s="286">
        <v>3.23</v>
      </c>
      <c r="I28" s="279" t="s">
        <v>3924</v>
      </c>
      <c r="J28" s="280">
        <v>2.64E-2</v>
      </c>
      <c r="K28" s="281" t="s">
        <v>3905</v>
      </c>
      <c r="M28" s="245" t="s">
        <v>25</v>
      </c>
      <c r="N28" s="245" t="s">
        <v>4052</v>
      </c>
      <c r="P28" s="243" t="str">
        <f t="shared" si="0"/>
        <v/>
      </c>
      <c r="Q28" s="243" t="str">
        <f t="shared" si="1"/>
        <v/>
      </c>
      <c r="R28" s="267">
        <f t="shared" si="2"/>
        <v>0.312664</v>
      </c>
      <c r="S28" s="243" t="str">
        <f t="shared" si="3"/>
        <v>t-CO2/千m3</v>
      </c>
    </row>
    <row r="29" spans="1:20" ht="20.25">
      <c r="A29" s="688"/>
      <c r="B29" s="268" t="s">
        <v>3942</v>
      </c>
      <c r="C29" s="269" t="s">
        <v>3902</v>
      </c>
      <c r="D29" s="285" t="s">
        <v>3942</v>
      </c>
      <c r="E29" s="287"/>
      <c r="F29" s="287"/>
      <c r="G29" s="283" t="s">
        <v>4153</v>
      </c>
      <c r="H29" s="286">
        <v>3.45</v>
      </c>
      <c r="I29" s="279" t="s">
        <v>3924</v>
      </c>
      <c r="J29" s="280">
        <v>2.64E-2</v>
      </c>
      <c r="K29" s="281" t="s">
        <v>3905</v>
      </c>
      <c r="M29" s="245" t="s">
        <v>25</v>
      </c>
      <c r="N29" s="245" t="s">
        <v>4052</v>
      </c>
      <c r="P29" s="243" t="str">
        <f t="shared" si="0"/>
        <v/>
      </c>
      <c r="Q29" s="243" t="str">
        <f t="shared" si="1"/>
        <v/>
      </c>
      <c r="R29" s="267">
        <f t="shared" si="2"/>
        <v>0.33396000000000003</v>
      </c>
      <c r="S29" s="243" t="str">
        <f t="shared" si="3"/>
        <v>t-CO2/千m3</v>
      </c>
    </row>
    <row r="30" spans="1:20" ht="20.25">
      <c r="A30" s="688"/>
      <c r="B30" s="268" t="s">
        <v>3943</v>
      </c>
      <c r="C30" s="269" t="s">
        <v>3902</v>
      </c>
      <c r="D30" s="276" t="s">
        <v>3943</v>
      </c>
      <c r="E30" s="276"/>
      <c r="F30" s="276"/>
      <c r="G30" s="283" t="s">
        <v>4153</v>
      </c>
      <c r="H30" s="286">
        <v>7.53</v>
      </c>
      <c r="I30" s="279" t="s">
        <v>3924</v>
      </c>
      <c r="J30" s="280">
        <v>4.2000000000000003E-2</v>
      </c>
      <c r="K30" s="281" t="s">
        <v>3905</v>
      </c>
      <c r="M30" s="245" t="s">
        <v>25</v>
      </c>
      <c r="N30" s="245" t="s">
        <v>4052</v>
      </c>
      <c r="P30" s="243" t="str">
        <f t="shared" si="0"/>
        <v/>
      </c>
      <c r="Q30" s="243" t="str">
        <f t="shared" si="1"/>
        <v/>
      </c>
      <c r="R30" s="267">
        <f t="shared" si="2"/>
        <v>1.1596200000000001</v>
      </c>
      <c r="S30" s="243" t="str">
        <f t="shared" si="3"/>
        <v>t-CO2/千m3</v>
      </c>
    </row>
    <row r="31" spans="1:20" ht="20.25">
      <c r="A31" s="688"/>
      <c r="B31" s="268" t="s">
        <v>3944</v>
      </c>
      <c r="C31" s="269" t="s">
        <v>3902</v>
      </c>
      <c r="D31" s="276" t="s">
        <v>3945</v>
      </c>
      <c r="E31" s="276"/>
      <c r="F31" s="276"/>
      <c r="G31" s="288" t="s">
        <v>3946</v>
      </c>
      <c r="H31" s="289">
        <v>45</v>
      </c>
      <c r="I31" s="290" t="s">
        <v>4154</v>
      </c>
      <c r="J31" s="280">
        <v>1.4E-2</v>
      </c>
      <c r="K31" s="281" t="s">
        <v>3947</v>
      </c>
      <c r="M31" s="245" t="s">
        <v>25</v>
      </c>
      <c r="N31" s="245" t="s">
        <v>4046</v>
      </c>
      <c r="P31" s="243" t="str">
        <f t="shared" si="0"/>
        <v>都市ガス</v>
      </c>
      <c r="Q31" s="243" t="str">
        <f t="shared" si="1"/>
        <v>都市ガス</v>
      </c>
      <c r="R31" s="291">
        <f>IFERROR(H31*0.904*J31*44/12,"")</f>
        <v>2.0882400000000003</v>
      </c>
      <c r="S31" s="243" t="str">
        <f t="shared" si="3"/>
        <v>t-CO2/千m3</v>
      </c>
      <c r="T31" s="292" t="s">
        <v>4155</v>
      </c>
    </row>
    <row r="32" spans="1:20">
      <c r="A32" s="689"/>
      <c r="B32" s="293" t="s">
        <v>3948</v>
      </c>
      <c r="C32" s="294" t="s">
        <v>3902</v>
      </c>
      <c r="D32" s="295" t="s">
        <v>3949</v>
      </c>
      <c r="E32" s="295"/>
      <c r="F32" s="295"/>
      <c r="G32" s="296" t="s">
        <v>3950</v>
      </c>
      <c r="H32" s="297">
        <v>1.19</v>
      </c>
      <c r="I32" s="298" t="s">
        <v>3951</v>
      </c>
      <c r="J32" s="299" t="s">
        <v>3932</v>
      </c>
      <c r="K32" s="300"/>
      <c r="M32" s="245" t="s">
        <v>4043</v>
      </c>
      <c r="N32" s="245" t="s">
        <v>4052</v>
      </c>
      <c r="P32" s="243" t="str">
        <f t="shared" si="0"/>
        <v/>
      </c>
      <c r="Q32" s="243" t="str">
        <f t="shared" si="1"/>
        <v/>
      </c>
      <c r="R32" s="267" t="str">
        <f t="shared" si="2"/>
        <v/>
      </c>
      <c r="S32" s="243" t="str">
        <f t="shared" si="3"/>
        <v>t-CO2/GJ</v>
      </c>
    </row>
    <row r="33" spans="1:19" ht="17.45" customHeight="1">
      <c r="A33" s="682" t="s">
        <v>3953</v>
      </c>
      <c r="B33" s="259" t="s">
        <v>3954</v>
      </c>
      <c r="C33" s="260" t="s">
        <v>3955</v>
      </c>
      <c r="D33" s="301" t="s">
        <v>3954</v>
      </c>
      <c r="E33" s="301"/>
      <c r="F33" s="301"/>
      <c r="G33" s="302" t="s">
        <v>3956</v>
      </c>
      <c r="H33" s="303">
        <v>13.6</v>
      </c>
      <c r="I33" s="264" t="s">
        <v>3957</v>
      </c>
      <c r="J33" s="304" t="s">
        <v>3932</v>
      </c>
      <c r="K33" s="305"/>
      <c r="M33" s="245" t="s">
        <v>4042</v>
      </c>
      <c r="N33" s="245" t="s">
        <v>4052</v>
      </c>
      <c r="P33" s="243" t="str">
        <f t="shared" si="0"/>
        <v/>
      </c>
      <c r="Q33" s="243" t="str">
        <f t="shared" si="1"/>
        <v/>
      </c>
      <c r="R33" s="267" t="str">
        <f t="shared" si="2"/>
        <v/>
      </c>
      <c r="S33" s="243" t="str">
        <f t="shared" si="3"/>
        <v>t-CO2/t</v>
      </c>
    </row>
    <row r="34" spans="1:19">
      <c r="A34" s="683"/>
      <c r="B34" s="268" t="s">
        <v>3958</v>
      </c>
      <c r="C34" s="269" t="s">
        <v>3955</v>
      </c>
      <c r="D34" s="306" t="s">
        <v>3958</v>
      </c>
      <c r="E34" s="306"/>
      <c r="F34" s="306"/>
      <c r="G34" s="307" t="s">
        <v>3956</v>
      </c>
      <c r="H34" s="308">
        <v>13.2</v>
      </c>
      <c r="I34" s="279" t="s">
        <v>3957</v>
      </c>
      <c r="J34" s="299" t="s">
        <v>3932</v>
      </c>
      <c r="K34" s="300"/>
      <c r="M34" s="245" t="s">
        <v>4042</v>
      </c>
      <c r="N34" s="245" t="s">
        <v>4052</v>
      </c>
      <c r="P34" s="243" t="str">
        <f t="shared" si="0"/>
        <v/>
      </c>
      <c r="Q34" s="243" t="str">
        <f t="shared" si="1"/>
        <v/>
      </c>
      <c r="R34" s="267" t="str">
        <f t="shared" si="2"/>
        <v/>
      </c>
      <c r="S34" s="243" t="str">
        <f t="shared" si="3"/>
        <v>t-CO2/t</v>
      </c>
    </row>
    <row r="35" spans="1:19">
      <c r="A35" s="683"/>
      <c r="B35" s="268" t="s">
        <v>3959</v>
      </c>
      <c r="C35" s="269" t="s">
        <v>3955</v>
      </c>
      <c r="D35" s="306" t="s">
        <v>3959</v>
      </c>
      <c r="E35" s="306"/>
      <c r="F35" s="306"/>
      <c r="G35" s="307" t="s">
        <v>3956</v>
      </c>
      <c r="H35" s="308">
        <v>17.100000000000001</v>
      </c>
      <c r="I35" s="279" t="s">
        <v>3957</v>
      </c>
      <c r="J35" s="299" t="s">
        <v>3932</v>
      </c>
      <c r="K35" s="300"/>
      <c r="M35" s="245" t="s">
        <v>4042</v>
      </c>
      <c r="N35" s="245" t="s">
        <v>4052</v>
      </c>
      <c r="P35" s="243" t="str">
        <f t="shared" si="0"/>
        <v/>
      </c>
      <c r="Q35" s="243" t="str">
        <f t="shared" si="1"/>
        <v/>
      </c>
      <c r="R35" s="267" t="str">
        <f t="shared" si="2"/>
        <v/>
      </c>
      <c r="S35" s="243" t="str">
        <f t="shared" si="3"/>
        <v>t-CO2/t</v>
      </c>
    </row>
    <row r="36" spans="1:19">
      <c r="A36" s="683"/>
      <c r="B36" s="268" t="s">
        <v>3960</v>
      </c>
      <c r="C36" s="269" t="s">
        <v>3955</v>
      </c>
      <c r="D36" s="306" t="s">
        <v>3960</v>
      </c>
      <c r="E36" s="306"/>
      <c r="F36" s="306"/>
      <c r="G36" s="307" t="s">
        <v>3961</v>
      </c>
      <c r="H36" s="308">
        <v>23.4</v>
      </c>
      <c r="I36" s="279" t="s">
        <v>3962</v>
      </c>
      <c r="J36" s="299" t="s">
        <v>3932</v>
      </c>
      <c r="K36" s="300"/>
      <c r="M36" s="245" t="s">
        <v>26</v>
      </c>
      <c r="N36" s="245" t="s">
        <v>4046</v>
      </c>
      <c r="P36" s="243" t="str">
        <f t="shared" si="0"/>
        <v>バイオエタノール</v>
      </c>
      <c r="Q36" s="243" t="str">
        <f t="shared" si="1"/>
        <v>バイオエタノール</v>
      </c>
      <c r="R36" s="267" t="str">
        <f t="shared" si="2"/>
        <v/>
      </c>
      <c r="S36" s="243" t="str">
        <f t="shared" si="3"/>
        <v>t-CO2/kl</v>
      </c>
    </row>
    <row r="37" spans="1:19">
      <c r="A37" s="683"/>
      <c r="B37" s="268" t="s">
        <v>3963</v>
      </c>
      <c r="C37" s="269" t="s">
        <v>3955</v>
      </c>
      <c r="D37" s="306" t="s">
        <v>3963</v>
      </c>
      <c r="E37" s="306"/>
      <c r="F37" s="306"/>
      <c r="G37" s="307" t="s">
        <v>3961</v>
      </c>
      <c r="H37" s="308">
        <v>35.6</v>
      </c>
      <c r="I37" s="279" t="s">
        <v>3962</v>
      </c>
      <c r="J37" s="299" t="s">
        <v>3932</v>
      </c>
      <c r="K37" s="300"/>
      <c r="M37" s="245" t="s">
        <v>26</v>
      </c>
      <c r="N37" s="245" t="s">
        <v>4046</v>
      </c>
      <c r="P37" s="243" t="str">
        <f t="shared" si="0"/>
        <v>バイオディーゼル</v>
      </c>
      <c r="Q37" s="243" t="str">
        <f t="shared" si="1"/>
        <v>バイオディーゼル</v>
      </c>
      <c r="R37" s="267" t="str">
        <f t="shared" si="2"/>
        <v/>
      </c>
      <c r="S37" s="243" t="str">
        <f t="shared" si="3"/>
        <v>t-CO2/kl</v>
      </c>
    </row>
    <row r="38" spans="1:19" ht="20.25">
      <c r="A38" s="683"/>
      <c r="B38" s="268" t="s">
        <v>3964</v>
      </c>
      <c r="C38" s="269" t="s">
        <v>3955</v>
      </c>
      <c r="D38" s="306" t="s">
        <v>3964</v>
      </c>
      <c r="E38" s="306"/>
      <c r="F38" s="306"/>
      <c r="G38" s="307" t="s">
        <v>3965</v>
      </c>
      <c r="H38" s="308">
        <v>21.2</v>
      </c>
      <c r="I38" s="279" t="s">
        <v>3966</v>
      </c>
      <c r="J38" s="299" t="s">
        <v>3932</v>
      </c>
      <c r="K38" s="300"/>
      <c r="M38" s="245" t="s">
        <v>25</v>
      </c>
      <c r="N38" s="245" t="s">
        <v>4052</v>
      </c>
      <c r="P38" s="243" t="str">
        <f t="shared" si="0"/>
        <v/>
      </c>
      <c r="Q38" s="243" t="str">
        <f t="shared" si="1"/>
        <v/>
      </c>
      <c r="R38" s="267" t="str">
        <f t="shared" si="2"/>
        <v/>
      </c>
      <c r="S38" s="243" t="str">
        <f t="shared" si="3"/>
        <v>t-CO2/千㎥</v>
      </c>
    </row>
    <row r="39" spans="1:19">
      <c r="A39" s="683"/>
      <c r="B39" s="268" t="s">
        <v>3967</v>
      </c>
      <c r="C39" s="269" t="s">
        <v>3955</v>
      </c>
      <c r="D39" s="306" t="s">
        <v>3967</v>
      </c>
      <c r="E39" s="306"/>
      <c r="F39" s="306"/>
      <c r="G39" s="307" t="s">
        <v>3956</v>
      </c>
      <c r="H39" s="308">
        <v>13.2</v>
      </c>
      <c r="I39" s="279" t="s">
        <v>3957</v>
      </c>
      <c r="J39" s="299" t="s">
        <v>3932</v>
      </c>
      <c r="K39" s="300"/>
      <c r="M39" s="245" t="s">
        <v>4042</v>
      </c>
      <c r="N39" s="245" t="s">
        <v>4052</v>
      </c>
      <c r="P39" s="243" t="str">
        <f t="shared" si="0"/>
        <v/>
      </c>
      <c r="Q39" s="243" t="str">
        <f t="shared" si="1"/>
        <v/>
      </c>
      <c r="R39" s="267" t="str">
        <f t="shared" si="2"/>
        <v/>
      </c>
      <c r="S39" s="243" t="str">
        <f t="shared" si="3"/>
        <v>t-CO2/t</v>
      </c>
    </row>
    <row r="40" spans="1:19">
      <c r="A40" s="683"/>
      <c r="B40" s="268" t="s">
        <v>3968</v>
      </c>
      <c r="C40" s="269" t="s">
        <v>3955</v>
      </c>
      <c r="D40" s="306" t="s">
        <v>3968</v>
      </c>
      <c r="E40" s="306"/>
      <c r="F40" s="306"/>
      <c r="G40" s="307" t="s">
        <v>3956</v>
      </c>
      <c r="H40" s="308">
        <v>18</v>
      </c>
      <c r="I40" s="279" t="s">
        <v>3957</v>
      </c>
      <c r="J40" s="280">
        <v>1.6199999999999999E-2</v>
      </c>
      <c r="K40" s="279" t="s">
        <v>3905</v>
      </c>
      <c r="M40" s="245" t="s">
        <v>4042</v>
      </c>
      <c r="N40" s="245" t="s">
        <v>4052</v>
      </c>
      <c r="P40" s="243" t="str">
        <f t="shared" si="0"/>
        <v/>
      </c>
      <c r="Q40" s="243" t="str">
        <f t="shared" si="1"/>
        <v/>
      </c>
      <c r="R40" s="267">
        <f t="shared" si="2"/>
        <v>1.0691999999999999</v>
      </c>
      <c r="S40" s="243" t="str">
        <f t="shared" si="3"/>
        <v>t-CO2/t</v>
      </c>
    </row>
    <row r="41" spans="1:19">
      <c r="A41" s="683"/>
      <c r="B41" s="268" t="s">
        <v>3969</v>
      </c>
      <c r="C41" s="269" t="s">
        <v>3955</v>
      </c>
      <c r="D41" s="306" t="s">
        <v>3969</v>
      </c>
      <c r="E41" s="306"/>
      <c r="F41" s="306"/>
      <c r="G41" s="307" t="s">
        <v>3956</v>
      </c>
      <c r="H41" s="308">
        <v>26.9</v>
      </c>
      <c r="I41" s="279" t="s">
        <v>3957</v>
      </c>
      <c r="J41" s="280">
        <v>1.66E-2</v>
      </c>
      <c r="K41" s="279" t="s">
        <v>3905</v>
      </c>
      <c r="M41" s="245" t="s">
        <v>4042</v>
      </c>
      <c r="N41" s="245" t="s">
        <v>4052</v>
      </c>
      <c r="P41" s="243" t="str">
        <f t="shared" si="0"/>
        <v/>
      </c>
      <c r="Q41" s="243" t="str">
        <f t="shared" si="1"/>
        <v/>
      </c>
      <c r="R41" s="267">
        <f t="shared" si="2"/>
        <v>1.6373133333333332</v>
      </c>
      <c r="S41" s="243" t="str">
        <f t="shared" si="3"/>
        <v>t-CO2/t</v>
      </c>
    </row>
    <row r="42" spans="1:19">
      <c r="A42" s="683"/>
      <c r="B42" s="268" t="s">
        <v>3970</v>
      </c>
      <c r="C42" s="269" t="s">
        <v>3955</v>
      </c>
      <c r="D42" s="306" t="s">
        <v>3970</v>
      </c>
      <c r="E42" s="309"/>
      <c r="F42" s="309"/>
      <c r="G42" s="310" t="s">
        <v>3956</v>
      </c>
      <c r="H42" s="311">
        <v>33.200000000000003</v>
      </c>
      <c r="I42" s="279" t="s">
        <v>3957</v>
      </c>
      <c r="J42" s="280">
        <v>1.35E-2</v>
      </c>
      <c r="K42" s="279" t="s">
        <v>3905</v>
      </c>
      <c r="L42" s="312"/>
      <c r="M42" s="245" t="s">
        <v>4042</v>
      </c>
      <c r="N42" s="245" t="s">
        <v>4052</v>
      </c>
      <c r="P42" s="243" t="str">
        <f t="shared" si="0"/>
        <v/>
      </c>
      <c r="Q42" s="243" t="str">
        <f t="shared" si="1"/>
        <v/>
      </c>
      <c r="R42" s="267">
        <f t="shared" si="2"/>
        <v>1.6434</v>
      </c>
      <c r="S42" s="243" t="str">
        <f t="shared" si="3"/>
        <v>t-CO2/t</v>
      </c>
    </row>
    <row r="43" spans="1:19" ht="17.45" customHeight="1">
      <c r="A43" s="683"/>
      <c r="B43" s="268" t="s">
        <v>3971</v>
      </c>
      <c r="C43" s="269" t="s">
        <v>3955</v>
      </c>
      <c r="D43" s="685" t="s">
        <v>3972</v>
      </c>
      <c r="E43" s="313" t="s">
        <v>3973</v>
      </c>
      <c r="F43" s="309"/>
      <c r="G43" s="310" t="s">
        <v>3956</v>
      </c>
      <c r="H43" s="311">
        <v>29.3</v>
      </c>
      <c r="I43" s="279" t="s">
        <v>3957</v>
      </c>
      <c r="J43" s="280">
        <v>2.5700000000000001E-2</v>
      </c>
      <c r="K43" s="279" t="s">
        <v>3905</v>
      </c>
      <c r="L43" s="312"/>
      <c r="M43" s="245" t="s">
        <v>4042</v>
      </c>
      <c r="N43" s="245" t="s">
        <v>4052</v>
      </c>
      <c r="P43" s="243" t="str">
        <f t="shared" si="0"/>
        <v/>
      </c>
      <c r="Q43" s="243" t="str">
        <f t="shared" si="1"/>
        <v/>
      </c>
      <c r="R43" s="267">
        <f t="shared" si="2"/>
        <v>2.761036666666667</v>
      </c>
      <c r="S43" s="243" t="str">
        <f t="shared" si="3"/>
        <v>t-CO2/t</v>
      </c>
    </row>
    <row r="44" spans="1:19">
      <c r="A44" s="683"/>
      <c r="B44" s="268" t="s">
        <v>3974</v>
      </c>
      <c r="C44" s="269" t="s">
        <v>3955</v>
      </c>
      <c r="D44" s="686"/>
      <c r="E44" s="313" t="s">
        <v>3975</v>
      </c>
      <c r="F44" s="309"/>
      <c r="G44" s="310" t="s">
        <v>3956</v>
      </c>
      <c r="H44" s="311">
        <v>29.3</v>
      </c>
      <c r="I44" s="279" t="s">
        <v>3957</v>
      </c>
      <c r="J44" s="280">
        <v>2.3900000000000001E-2</v>
      </c>
      <c r="K44" s="279" t="s">
        <v>3905</v>
      </c>
      <c r="L44" s="312"/>
      <c r="M44" s="245" t="s">
        <v>4042</v>
      </c>
      <c r="N44" s="245" t="s">
        <v>4052</v>
      </c>
      <c r="P44" s="243" t="str">
        <f t="shared" si="0"/>
        <v/>
      </c>
      <c r="Q44" s="243" t="str">
        <f t="shared" si="1"/>
        <v/>
      </c>
      <c r="R44" s="267">
        <f t="shared" si="2"/>
        <v>2.5676566666666667</v>
      </c>
      <c r="S44" s="243" t="str">
        <f t="shared" si="3"/>
        <v>t-CO2/t</v>
      </c>
    </row>
    <row r="45" spans="1:19">
      <c r="A45" s="683"/>
      <c r="B45" s="268" t="s">
        <v>3976</v>
      </c>
      <c r="C45" s="269" t="s">
        <v>3955</v>
      </c>
      <c r="D45" s="306" t="s">
        <v>3976</v>
      </c>
      <c r="E45" s="309"/>
      <c r="F45" s="309"/>
      <c r="G45" s="310" t="s">
        <v>3961</v>
      </c>
      <c r="H45" s="311">
        <v>40.200000000000003</v>
      </c>
      <c r="I45" s="279" t="s">
        <v>3962</v>
      </c>
      <c r="J45" s="280">
        <v>1.7899999999999999E-2</v>
      </c>
      <c r="K45" s="279" t="s">
        <v>3905</v>
      </c>
      <c r="L45" s="312"/>
      <c r="M45" s="245" t="s">
        <v>26</v>
      </c>
      <c r="N45" s="245" t="s">
        <v>4052</v>
      </c>
      <c r="P45" s="243" t="str">
        <f t="shared" si="0"/>
        <v/>
      </c>
      <c r="Q45" s="243" t="str">
        <f t="shared" si="1"/>
        <v/>
      </c>
      <c r="R45" s="267">
        <f t="shared" si="2"/>
        <v>2.6384599999999998</v>
      </c>
      <c r="S45" s="243" t="str">
        <f t="shared" si="3"/>
        <v>t-CO2/kl</v>
      </c>
    </row>
    <row r="46" spans="1:19" ht="20.25">
      <c r="A46" s="683"/>
      <c r="B46" s="268" t="s">
        <v>3977</v>
      </c>
      <c r="C46" s="269" t="s">
        <v>3955</v>
      </c>
      <c r="D46" s="306" t="s">
        <v>3977</v>
      </c>
      <c r="E46" s="306"/>
      <c r="F46" s="306"/>
      <c r="G46" s="307" t="s">
        <v>3965</v>
      </c>
      <c r="H46" s="308">
        <v>21.2</v>
      </c>
      <c r="I46" s="279" t="s">
        <v>3966</v>
      </c>
      <c r="J46" s="299" t="s">
        <v>3932</v>
      </c>
      <c r="K46" s="300"/>
      <c r="M46" s="245" t="s">
        <v>25</v>
      </c>
      <c r="N46" s="245" t="s">
        <v>4052</v>
      </c>
      <c r="P46" s="243" t="str">
        <f t="shared" si="0"/>
        <v/>
      </c>
      <c r="Q46" s="243" t="str">
        <f t="shared" si="1"/>
        <v/>
      </c>
      <c r="R46" s="267" t="str">
        <f t="shared" si="2"/>
        <v/>
      </c>
      <c r="S46" s="243" t="str">
        <f t="shared" si="3"/>
        <v>t-CO2/千㎥</v>
      </c>
    </row>
    <row r="47" spans="1:19">
      <c r="A47" s="683"/>
      <c r="B47" s="268" t="s">
        <v>3978</v>
      </c>
      <c r="C47" s="269" t="s">
        <v>3955</v>
      </c>
      <c r="D47" s="306" t="s">
        <v>3978</v>
      </c>
      <c r="E47" s="306"/>
      <c r="F47" s="306"/>
      <c r="G47" s="307" t="s">
        <v>3956</v>
      </c>
      <c r="H47" s="308">
        <v>17.100000000000001</v>
      </c>
      <c r="I47" s="279" t="s">
        <v>3957</v>
      </c>
      <c r="J47" s="299" t="s">
        <v>3932</v>
      </c>
      <c r="K47" s="300"/>
      <c r="M47" s="245" t="s">
        <v>4042</v>
      </c>
      <c r="N47" s="245" t="s">
        <v>4052</v>
      </c>
      <c r="P47" s="243" t="str">
        <f t="shared" si="0"/>
        <v/>
      </c>
      <c r="Q47" s="243" t="str">
        <f t="shared" si="1"/>
        <v/>
      </c>
      <c r="R47" s="267" t="str">
        <f t="shared" si="2"/>
        <v/>
      </c>
      <c r="S47" s="243" t="str">
        <f t="shared" si="3"/>
        <v>t-CO2/t</v>
      </c>
    </row>
    <row r="48" spans="1:19">
      <c r="A48" s="683"/>
      <c r="B48" s="268" t="s">
        <v>3979</v>
      </c>
      <c r="C48" s="269" t="s">
        <v>3955</v>
      </c>
      <c r="D48" s="306" t="s">
        <v>3979</v>
      </c>
      <c r="E48" s="306"/>
      <c r="F48" s="306"/>
      <c r="G48" s="307" t="s">
        <v>3956</v>
      </c>
      <c r="H48" s="308">
        <v>142</v>
      </c>
      <c r="I48" s="279" t="s">
        <v>3957</v>
      </c>
      <c r="J48" s="299" t="s">
        <v>3932</v>
      </c>
      <c r="K48" s="300"/>
      <c r="M48" s="245" t="s">
        <v>4042</v>
      </c>
      <c r="N48" s="245" t="s">
        <v>4044</v>
      </c>
      <c r="O48" s="243" t="s">
        <v>4271</v>
      </c>
      <c r="P48" s="243" t="str">
        <f t="shared" si="0"/>
        <v/>
      </c>
      <c r="Q48" s="243" t="str">
        <f t="shared" si="1"/>
        <v>水素</v>
      </c>
      <c r="R48" s="267" t="str">
        <f t="shared" si="2"/>
        <v/>
      </c>
      <c r="S48" s="243" t="str">
        <f t="shared" si="3"/>
        <v>t-CO2/t</v>
      </c>
    </row>
    <row r="49" spans="1:19">
      <c r="A49" s="684"/>
      <c r="B49" s="293" t="s">
        <v>3980</v>
      </c>
      <c r="C49" s="294" t="s">
        <v>3955</v>
      </c>
      <c r="D49" s="314" t="s">
        <v>3980</v>
      </c>
      <c r="E49" s="314"/>
      <c r="F49" s="314"/>
      <c r="G49" s="315" t="s">
        <v>3956</v>
      </c>
      <c r="H49" s="316">
        <v>22.5</v>
      </c>
      <c r="I49" s="298" t="s">
        <v>3957</v>
      </c>
      <c r="J49" s="299" t="s">
        <v>3932</v>
      </c>
      <c r="K49" s="300"/>
      <c r="M49" s="245" t="s">
        <v>4042</v>
      </c>
      <c r="N49" s="245" t="s">
        <v>4052</v>
      </c>
      <c r="P49" s="243" t="str">
        <f t="shared" si="0"/>
        <v/>
      </c>
      <c r="Q49" s="243" t="str">
        <f t="shared" si="1"/>
        <v/>
      </c>
      <c r="R49" s="267" t="str">
        <f t="shared" si="2"/>
        <v/>
      </c>
      <c r="S49" s="243" t="str">
        <f t="shared" si="3"/>
        <v>t-CO2/t</v>
      </c>
    </row>
    <row r="50" spans="1:19">
      <c r="A50" s="671" t="s">
        <v>3981</v>
      </c>
      <c r="B50" s="317" t="s">
        <v>3983</v>
      </c>
      <c r="C50" s="318" t="s">
        <v>3981</v>
      </c>
      <c r="D50" s="261" t="s">
        <v>3982</v>
      </c>
      <c r="E50" s="261"/>
      <c r="F50" s="261"/>
      <c r="G50" s="319" t="s">
        <v>3950</v>
      </c>
      <c r="H50" s="320">
        <v>1.17</v>
      </c>
      <c r="I50" s="321" t="s">
        <v>3951</v>
      </c>
      <c r="J50" s="322">
        <v>6.54E-2</v>
      </c>
      <c r="K50" s="321" t="s">
        <v>3952</v>
      </c>
      <c r="M50" s="245" t="s">
        <v>4043</v>
      </c>
      <c r="N50" s="245" t="s">
        <v>4052</v>
      </c>
      <c r="P50" s="243" t="str">
        <f t="shared" si="0"/>
        <v/>
      </c>
      <c r="Q50" s="243" t="str">
        <f t="shared" si="1"/>
        <v/>
      </c>
      <c r="R50" s="267">
        <f t="shared" si="2"/>
        <v>0.28056599999999993</v>
      </c>
      <c r="S50" s="243" t="str">
        <f t="shared" si="3"/>
        <v>t-CO2/GJ</v>
      </c>
    </row>
    <row r="51" spans="1:19">
      <c r="A51" s="672"/>
      <c r="B51" s="323" t="s">
        <v>3985</v>
      </c>
      <c r="C51" s="324" t="s">
        <v>3981</v>
      </c>
      <c r="D51" s="276" t="s">
        <v>3984</v>
      </c>
      <c r="E51" s="276"/>
      <c r="F51" s="276"/>
      <c r="G51" s="325" t="s">
        <v>3950</v>
      </c>
      <c r="H51" s="326">
        <v>1.19</v>
      </c>
      <c r="I51" s="327" t="s">
        <v>3951</v>
      </c>
      <c r="J51" s="299" t="s">
        <v>3932</v>
      </c>
      <c r="K51" s="300"/>
      <c r="M51" s="245" t="s">
        <v>4043</v>
      </c>
      <c r="N51" s="245" t="s">
        <v>4052</v>
      </c>
      <c r="P51" s="243" t="str">
        <f t="shared" si="0"/>
        <v/>
      </c>
      <c r="Q51" s="243" t="str">
        <f t="shared" si="1"/>
        <v/>
      </c>
      <c r="R51" s="267" t="str">
        <f t="shared" si="2"/>
        <v/>
      </c>
      <c r="S51" s="243" t="str">
        <f t="shared" si="3"/>
        <v>t-CO2/GJ</v>
      </c>
    </row>
    <row r="52" spans="1:19">
      <c r="A52" s="672"/>
      <c r="B52" s="323" t="s">
        <v>3987</v>
      </c>
      <c r="C52" s="324" t="s">
        <v>3981</v>
      </c>
      <c r="D52" s="276" t="s">
        <v>3986</v>
      </c>
      <c r="E52" s="276"/>
      <c r="F52" s="276"/>
      <c r="G52" s="325" t="s">
        <v>3950</v>
      </c>
      <c r="H52" s="326">
        <v>1.19</v>
      </c>
      <c r="I52" s="327" t="s">
        <v>3951</v>
      </c>
      <c r="J52" s="299" t="s">
        <v>3932</v>
      </c>
      <c r="K52" s="300"/>
      <c r="M52" s="245" t="s">
        <v>4043</v>
      </c>
      <c r="N52" s="245" t="s">
        <v>4052</v>
      </c>
      <c r="P52" s="243" t="str">
        <f t="shared" si="0"/>
        <v/>
      </c>
      <c r="Q52" s="243" t="str">
        <f t="shared" si="1"/>
        <v/>
      </c>
      <c r="R52" s="267" t="str">
        <f t="shared" si="2"/>
        <v/>
      </c>
      <c r="S52" s="243" t="str">
        <f t="shared" si="3"/>
        <v>t-CO2/GJ</v>
      </c>
    </row>
    <row r="53" spans="1:19">
      <c r="A53" s="672"/>
      <c r="B53" s="323" t="s">
        <v>3989</v>
      </c>
      <c r="C53" s="324" t="s">
        <v>3981</v>
      </c>
      <c r="D53" s="276" t="s">
        <v>3988</v>
      </c>
      <c r="E53" s="276"/>
      <c r="F53" s="276"/>
      <c r="G53" s="325" t="s">
        <v>3950</v>
      </c>
      <c r="H53" s="326">
        <v>1.19</v>
      </c>
      <c r="I53" s="327" t="s">
        <v>3951</v>
      </c>
      <c r="J53" s="299" t="s">
        <v>3932</v>
      </c>
      <c r="K53" s="300"/>
      <c r="M53" s="245" t="s">
        <v>4043</v>
      </c>
      <c r="N53" s="245" t="s">
        <v>4052</v>
      </c>
      <c r="P53" s="243" t="str">
        <f t="shared" si="0"/>
        <v/>
      </c>
      <c r="Q53" s="243" t="str">
        <f t="shared" si="1"/>
        <v/>
      </c>
      <c r="R53" s="267" t="str">
        <f t="shared" si="2"/>
        <v/>
      </c>
      <c r="S53" s="243" t="str">
        <f t="shared" si="3"/>
        <v>t-CO2/GJ</v>
      </c>
    </row>
    <row r="54" spans="1:19">
      <c r="A54" s="672"/>
      <c r="B54" s="323" t="s">
        <v>3990</v>
      </c>
      <c r="C54" s="324" t="s">
        <v>3981</v>
      </c>
      <c r="D54" s="276" t="s">
        <v>3982</v>
      </c>
      <c r="E54" s="276"/>
      <c r="F54" s="276"/>
      <c r="G54" s="325" t="s">
        <v>3950</v>
      </c>
      <c r="H54" s="326">
        <v>1.17</v>
      </c>
      <c r="I54" s="327" t="s">
        <v>3951</v>
      </c>
      <c r="J54" s="299" t="s">
        <v>3932</v>
      </c>
      <c r="K54" s="300"/>
      <c r="M54" s="245" t="s">
        <v>4043</v>
      </c>
      <c r="N54" s="245" t="s">
        <v>4052</v>
      </c>
      <c r="P54" s="243" t="str">
        <f t="shared" si="0"/>
        <v/>
      </c>
      <c r="Q54" s="243" t="str">
        <f t="shared" si="1"/>
        <v/>
      </c>
      <c r="R54" s="267" t="str">
        <f t="shared" si="2"/>
        <v/>
      </c>
      <c r="S54" s="243" t="str">
        <f t="shared" si="3"/>
        <v>t-CO2/GJ</v>
      </c>
    </row>
    <row r="55" spans="1:19">
      <c r="A55" s="672"/>
      <c r="B55" s="323" t="s">
        <v>3991</v>
      </c>
      <c r="C55" s="324" t="s">
        <v>3981</v>
      </c>
      <c r="D55" s="276" t="s">
        <v>3984</v>
      </c>
      <c r="E55" s="276"/>
      <c r="F55" s="276"/>
      <c r="G55" s="325" t="s">
        <v>3950</v>
      </c>
      <c r="H55" s="326">
        <v>1.19</v>
      </c>
      <c r="I55" s="327" t="s">
        <v>3951</v>
      </c>
      <c r="J55" s="299" t="s">
        <v>3932</v>
      </c>
      <c r="K55" s="300"/>
      <c r="M55" s="245" t="s">
        <v>4043</v>
      </c>
      <c r="N55" s="245" t="s">
        <v>4052</v>
      </c>
      <c r="P55" s="243" t="str">
        <f t="shared" si="0"/>
        <v/>
      </c>
      <c r="Q55" s="243" t="str">
        <f t="shared" si="1"/>
        <v/>
      </c>
      <c r="R55" s="267" t="str">
        <f t="shared" si="2"/>
        <v/>
      </c>
      <c r="S55" s="243" t="str">
        <f t="shared" si="3"/>
        <v>t-CO2/GJ</v>
      </c>
    </row>
    <row r="56" spans="1:19">
      <c r="A56" s="672"/>
      <c r="B56" s="323" t="s">
        <v>3992</v>
      </c>
      <c r="C56" s="324" t="s">
        <v>3981</v>
      </c>
      <c r="D56" s="276" t="s">
        <v>3986</v>
      </c>
      <c r="E56" s="276"/>
      <c r="F56" s="276"/>
      <c r="G56" s="325" t="s">
        <v>3950</v>
      </c>
      <c r="H56" s="326">
        <v>1.19</v>
      </c>
      <c r="I56" s="327" t="s">
        <v>3951</v>
      </c>
      <c r="J56" s="299" t="s">
        <v>3932</v>
      </c>
      <c r="K56" s="300"/>
      <c r="M56" s="245" t="s">
        <v>4043</v>
      </c>
      <c r="N56" s="245" t="s">
        <v>4052</v>
      </c>
      <c r="P56" s="243" t="str">
        <f t="shared" si="0"/>
        <v/>
      </c>
      <c r="Q56" s="243" t="str">
        <f t="shared" si="1"/>
        <v/>
      </c>
      <c r="R56" s="267" t="str">
        <f t="shared" si="2"/>
        <v/>
      </c>
      <c r="S56" s="243" t="str">
        <f t="shared" si="3"/>
        <v>t-CO2/GJ</v>
      </c>
    </row>
    <row r="57" spans="1:19">
      <c r="A57" s="672"/>
      <c r="B57" s="323" t="s">
        <v>3993</v>
      </c>
      <c r="C57" s="324" t="s">
        <v>3981</v>
      </c>
      <c r="D57" s="276" t="s">
        <v>3988</v>
      </c>
      <c r="E57" s="276"/>
      <c r="F57" s="276"/>
      <c r="G57" s="325" t="s">
        <v>3950</v>
      </c>
      <c r="H57" s="326">
        <v>1.19</v>
      </c>
      <c r="I57" s="327" t="s">
        <v>3994</v>
      </c>
      <c r="J57" s="299" t="s">
        <v>3932</v>
      </c>
      <c r="K57" s="300"/>
      <c r="M57" s="245" t="s">
        <v>4043</v>
      </c>
      <c r="N57" s="245" t="s">
        <v>4052</v>
      </c>
      <c r="P57" s="243" t="str">
        <f t="shared" si="0"/>
        <v/>
      </c>
      <c r="Q57" s="243" t="str">
        <f t="shared" si="1"/>
        <v/>
      </c>
      <c r="R57" s="267" t="str">
        <f t="shared" si="2"/>
        <v/>
      </c>
      <c r="S57" s="243" t="str">
        <f t="shared" si="3"/>
        <v>t-CO2/GJ</v>
      </c>
    </row>
    <row r="58" spans="1:19" ht="18" customHeight="1">
      <c r="A58" s="672"/>
      <c r="B58" s="323" t="s">
        <v>3995</v>
      </c>
      <c r="C58" s="324" t="s">
        <v>3981</v>
      </c>
      <c r="D58" s="276" t="s">
        <v>3995</v>
      </c>
      <c r="E58" s="276"/>
      <c r="F58" s="276"/>
      <c r="G58" s="325" t="s">
        <v>3950</v>
      </c>
      <c r="H58" s="299" t="s">
        <v>3932</v>
      </c>
      <c r="I58" s="300"/>
      <c r="J58" s="299" t="s">
        <v>3932</v>
      </c>
      <c r="K58" s="300"/>
      <c r="M58" s="245" t="s">
        <v>4043</v>
      </c>
      <c r="N58" s="245" t="s">
        <v>4052</v>
      </c>
      <c r="P58" s="243" t="str">
        <f t="shared" si="0"/>
        <v/>
      </c>
      <c r="Q58" s="243" t="str">
        <f t="shared" si="1"/>
        <v/>
      </c>
      <c r="R58" s="267" t="str">
        <f t="shared" si="2"/>
        <v/>
      </c>
      <c r="S58" s="243" t="str">
        <f t="shared" si="3"/>
        <v>t-CO2/GJ</v>
      </c>
    </row>
    <row r="59" spans="1:19">
      <c r="A59" s="672"/>
      <c r="B59" s="323" t="s">
        <v>3996</v>
      </c>
      <c r="C59" s="324" t="s">
        <v>3981</v>
      </c>
      <c r="D59" s="276" t="s">
        <v>3996</v>
      </c>
      <c r="E59" s="276"/>
      <c r="F59" s="276"/>
      <c r="G59" s="325" t="s">
        <v>3950</v>
      </c>
      <c r="H59" s="299" t="s">
        <v>3932</v>
      </c>
      <c r="I59" s="300"/>
      <c r="J59" s="299" t="s">
        <v>3932</v>
      </c>
      <c r="K59" s="300"/>
      <c r="M59" s="245" t="s">
        <v>4043</v>
      </c>
      <c r="N59" s="245" t="s">
        <v>4052</v>
      </c>
      <c r="P59" s="243" t="str">
        <f t="shared" si="0"/>
        <v/>
      </c>
      <c r="Q59" s="243" t="str">
        <f t="shared" si="1"/>
        <v/>
      </c>
      <c r="R59" s="267" t="str">
        <f t="shared" si="2"/>
        <v/>
      </c>
      <c r="S59" s="243" t="str">
        <f t="shared" si="3"/>
        <v>t-CO2/GJ</v>
      </c>
    </row>
    <row r="60" spans="1:19">
      <c r="A60" s="672"/>
      <c r="B60" s="323" t="s">
        <v>3997</v>
      </c>
      <c r="C60" s="324" t="s">
        <v>3981</v>
      </c>
      <c r="D60" s="276" t="s">
        <v>3997</v>
      </c>
      <c r="E60" s="276"/>
      <c r="F60" s="276"/>
      <c r="G60" s="325" t="s">
        <v>3950</v>
      </c>
      <c r="H60" s="299" t="s">
        <v>3932</v>
      </c>
      <c r="I60" s="300"/>
      <c r="J60" s="299" t="s">
        <v>3932</v>
      </c>
      <c r="K60" s="300"/>
      <c r="M60" s="245" t="s">
        <v>4043</v>
      </c>
      <c r="N60" s="245" t="s">
        <v>4052</v>
      </c>
      <c r="P60" s="243" t="str">
        <f t="shared" si="0"/>
        <v/>
      </c>
      <c r="Q60" s="243" t="str">
        <f t="shared" si="1"/>
        <v/>
      </c>
      <c r="R60" s="267" t="str">
        <f t="shared" si="2"/>
        <v/>
      </c>
      <c r="S60" s="243" t="str">
        <f t="shared" si="3"/>
        <v>t-CO2/GJ</v>
      </c>
    </row>
    <row r="61" spans="1:19">
      <c r="A61" s="673"/>
      <c r="B61" s="328" t="s">
        <v>3998</v>
      </c>
      <c r="C61" s="329" t="s">
        <v>3981</v>
      </c>
      <c r="D61" s="295" t="s">
        <v>3998</v>
      </c>
      <c r="E61" s="295"/>
      <c r="F61" s="295"/>
      <c r="G61" s="330" t="s">
        <v>3950</v>
      </c>
      <c r="H61" s="331" t="s">
        <v>3932</v>
      </c>
      <c r="I61" s="332"/>
      <c r="J61" s="299" t="s">
        <v>3932</v>
      </c>
      <c r="K61" s="300"/>
      <c r="M61" s="245" t="s">
        <v>4043</v>
      </c>
      <c r="N61" s="245" t="s">
        <v>4052</v>
      </c>
      <c r="P61" s="243" t="str">
        <f t="shared" si="0"/>
        <v/>
      </c>
      <c r="Q61" s="243" t="str">
        <f t="shared" si="1"/>
        <v/>
      </c>
      <c r="R61" s="267" t="str">
        <f t="shared" si="2"/>
        <v/>
      </c>
      <c r="S61" s="243" t="str">
        <f t="shared" si="3"/>
        <v>t-CO2/GJ</v>
      </c>
    </row>
    <row r="62" spans="1:19" ht="36" customHeight="1">
      <c r="A62" s="674" t="s">
        <v>3999</v>
      </c>
      <c r="B62" s="333" t="s">
        <v>4050</v>
      </c>
      <c r="C62" s="318" t="s">
        <v>4000</v>
      </c>
      <c r="D62" s="334" t="s">
        <v>4051</v>
      </c>
      <c r="E62" s="261"/>
      <c r="F62" s="261"/>
      <c r="G62" s="302" t="s">
        <v>4001</v>
      </c>
      <c r="H62" s="335">
        <v>8.64</v>
      </c>
      <c r="I62" s="336" t="s">
        <v>4002</v>
      </c>
      <c r="J62" s="304" t="s">
        <v>3932</v>
      </c>
      <c r="K62" s="305"/>
      <c r="M62" s="245" t="s">
        <v>24</v>
      </c>
      <c r="N62" s="245" t="s">
        <v>4044</v>
      </c>
      <c r="O62" s="243" t="s">
        <v>4277</v>
      </c>
      <c r="P62" s="243" t="str">
        <f t="shared" si="0"/>
        <v/>
      </c>
      <c r="Q62" s="243" t="str">
        <f t="shared" si="1"/>
        <v>電気（充電）</v>
      </c>
      <c r="R62" s="267" t="str">
        <f t="shared" si="2"/>
        <v/>
      </c>
      <c r="S62" s="243" t="str">
        <f t="shared" si="3"/>
        <v>t-CO2/千kWh</v>
      </c>
    </row>
    <row r="63" spans="1:19">
      <c r="A63" s="675"/>
      <c r="B63" s="323" t="s">
        <v>4003</v>
      </c>
      <c r="C63" s="324" t="s">
        <v>4000</v>
      </c>
      <c r="D63" s="337" t="s">
        <v>4004</v>
      </c>
      <c r="E63" s="276"/>
      <c r="F63" s="276"/>
      <c r="G63" s="307" t="s">
        <v>4001</v>
      </c>
      <c r="H63" s="338" t="s">
        <v>3932</v>
      </c>
      <c r="I63" s="300"/>
      <c r="J63" s="299" t="s">
        <v>3932</v>
      </c>
      <c r="K63" s="300"/>
      <c r="M63" s="245" t="s">
        <v>24</v>
      </c>
      <c r="N63" s="245" t="s">
        <v>4052</v>
      </c>
      <c r="P63" s="243" t="str">
        <f t="shared" si="0"/>
        <v/>
      </c>
      <c r="Q63" s="243" t="str">
        <f t="shared" si="1"/>
        <v/>
      </c>
      <c r="R63" s="267" t="str">
        <f t="shared" si="2"/>
        <v/>
      </c>
      <c r="S63" s="243" t="str">
        <f t="shared" si="3"/>
        <v>t-CO2/千kWh</v>
      </c>
    </row>
    <row r="64" spans="1:19">
      <c r="A64" s="675"/>
      <c r="B64" s="323" t="s">
        <v>4005</v>
      </c>
      <c r="C64" s="324" t="s">
        <v>4000</v>
      </c>
      <c r="D64" s="337" t="s">
        <v>4005</v>
      </c>
      <c r="E64" s="276"/>
      <c r="F64" s="339"/>
      <c r="G64" s="307" t="s">
        <v>4001</v>
      </c>
      <c r="H64" s="340">
        <v>8.64</v>
      </c>
      <c r="I64" s="341" t="s">
        <v>4002</v>
      </c>
      <c r="J64" s="299" t="s">
        <v>3932</v>
      </c>
      <c r="K64" s="300"/>
      <c r="M64" s="245" t="s">
        <v>24</v>
      </c>
      <c r="N64" s="245" t="s">
        <v>4052</v>
      </c>
      <c r="P64" s="243" t="str">
        <f t="shared" si="0"/>
        <v/>
      </c>
      <c r="Q64" s="243" t="str">
        <f t="shared" si="1"/>
        <v/>
      </c>
      <c r="R64" s="267" t="str">
        <f t="shared" si="2"/>
        <v/>
      </c>
      <c r="S64" s="243" t="str">
        <f t="shared" si="3"/>
        <v>t-CO2/千kWh</v>
      </c>
    </row>
    <row r="65" spans="1:19" ht="17.45" customHeight="1">
      <c r="A65" s="675"/>
      <c r="B65" s="342" t="s">
        <v>4006</v>
      </c>
      <c r="C65" s="343" t="s">
        <v>4000</v>
      </c>
      <c r="D65" s="677" t="s">
        <v>4007</v>
      </c>
      <c r="E65" s="662" t="s">
        <v>4008</v>
      </c>
      <c r="F65" s="344" t="s">
        <v>4009</v>
      </c>
      <c r="G65" s="345" t="s">
        <v>4001</v>
      </c>
      <c r="H65" s="346">
        <v>8.64</v>
      </c>
      <c r="I65" s="347" t="s">
        <v>4002</v>
      </c>
      <c r="J65" s="348" t="s">
        <v>3932</v>
      </c>
      <c r="K65" s="349"/>
      <c r="M65" s="245" t="s">
        <v>24</v>
      </c>
      <c r="N65" s="245" t="s">
        <v>4052</v>
      </c>
      <c r="P65" s="243" t="str">
        <f t="shared" si="0"/>
        <v/>
      </c>
      <c r="Q65" s="243" t="str">
        <f t="shared" si="1"/>
        <v/>
      </c>
      <c r="R65" s="267" t="str">
        <f t="shared" si="2"/>
        <v/>
      </c>
      <c r="S65" s="243" t="str">
        <f t="shared" si="3"/>
        <v>t-CO2/千kWh</v>
      </c>
    </row>
    <row r="66" spans="1:19">
      <c r="A66" s="675"/>
      <c r="B66" s="323" t="s">
        <v>4010</v>
      </c>
      <c r="C66" s="324" t="s">
        <v>4000</v>
      </c>
      <c r="D66" s="677"/>
      <c r="E66" s="663"/>
      <c r="F66" s="350" t="s">
        <v>4011</v>
      </c>
      <c r="G66" s="307" t="s">
        <v>4001</v>
      </c>
      <c r="H66" s="340">
        <v>8.64</v>
      </c>
      <c r="I66" s="341" t="s">
        <v>4002</v>
      </c>
      <c r="J66" s="299" t="s">
        <v>3932</v>
      </c>
      <c r="K66" s="300"/>
      <c r="M66" s="245" t="s">
        <v>24</v>
      </c>
      <c r="N66" s="245" t="s">
        <v>4052</v>
      </c>
      <c r="P66" s="243" t="str">
        <f t="shared" si="0"/>
        <v/>
      </c>
      <c r="Q66" s="243" t="str">
        <f t="shared" si="1"/>
        <v/>
      </c>
      <c r="R66" s="267" t="str">
        <f t="shared" si="2"/>
        <v/>
      </c>
      <c r="S66" s="243" t="str">
        <f t="shared" si="3"/>
        <v>t-CO2/千kWh</v>
      </c>
    </row>
    <row r="67" spans="1:19" ht="37.5">
      <c r="A67" s="675"/>
      <c r="B67" s="323" t="s">
        <v>4014</v>
      </c>
      <c r="C67" s="324" t="s">
        <v>4000</v>
      </c>
      <c r="D67" s="677"/>
      <c r="E67" s="664" t="s">
        <v>4012</v>
      </c>
      <c r="F67" s="351" t="s">
        <v>4013</v>
      </c>
      <c r="G67" s="307" t="s">
        <v>4001</v>
      </c>
      <c r="H67" s="352">
        <v>3.6</v>
      </c>
      <c r="I67" s="341" t="s">
        <v>4002</v>
      </c>
      <c r="J67" s="299" t="s">
        <v>3932</v>
      </c>
      <c r="K67" s="300"/>
      <c r="M67" s="245" t="s">
        <v>24</v>
      </c>
      <c r="N67" s="245" t="s">
        <v>4052</v>
      </c>
      <c r="P67" s="243" t="str">
        <f t="shared" si="0"/>
        <v/>
      </c>
      <c r="Q67" s="243" t="str">
        <f t="shared" si="1"/>
        <v/>
      </c>
      <c r="R67" s="267" t="str">
        <f t="shared" si="2"/>
        <v/>
      </c>
      <c r="S67" s="243" t="str">
        <f t="shared" si="3"/>
        <v>t-CO2/千kWh</v>
      </c>
    </row>
    <row r="68" spans="1:19" ht="37.5">
      <c r="A68" s="675"/>
      <c r="B68" s="323" t="s">
        <v>4015</v>
      </c>
      <c r="C68" s="324" t="s">
        <v>4000</v>
      </c>
      <c r="D68" s="678"/>
      <c r="E68" s="663"/>
      <c r="F68" s="351" t="s">
        <v>4016</v>
      </c>
      <c r="G68" s="307" t="s">
        <v>4001</v>
      </c>
      <c r="H68" s="352">
        <v>3.6</v>
      </c>
      <c r="I68" s="341" t="s">
        <v>4002</v>
      </c>
      <c r="J68" s="299" t="s">
        <v>3932</v>
      </c>
      <c r="K68" s="300"/>
      <c r="M68" s="245" t="s">
        <v>24</v>
      </c>
      <c r="N68" s="245" t="s">
        <v>4052</v>
      </c>
      <c r="P68" s="243" t="str">
        <f t="shared" si="0"/>
        <v/>
      </c>
      <c r="Q68" s="243" t="str">
        <f t="shared" si="1"/>
        <v/>
      </c>
      <c r="R68" s="267" t="str">
        <f t="shared" si="2"/>
        <v/>
      </c>
      <c r="S68" s="243" t="str">
        <f t="shared" si="3"/>
        <v>t-CO2/千kWh</v>
      </c>
    </row>
    <row r="69" spans="1:19">
      <c r="A69" s="675"/>
      <c r="B69" s="323" t="s">
        <v>4017</v>
      </c>
      <c r="C69" s="324" t="s">
        <v>4000</v>
      </c>
      <c r="D69" s="665" t="s">
        <v>4018</v>
      </c>
      <c r="E69" s="353" t="s">
        <v>4019</v>
      </c>
      <c r="F69" s="354"/>
      <c r="G69" s="307" t="s">
        <v>4001</v>
      </c>
      <c r="H69" s="352">
        <v>3.6</v>
      </c>
      <c r="I69" s="341" t="s">
        <v>4002</v>
      </c>
      <c r="J69" s="299" t="s">
        <v>3932</v>
      </c>
      <c r="K69" s="300"/>
      <c r="M69" s="245" t="s">
        <v>24</v>
      </c>
      <c r="N69" s="245" t="s">
        <v>4052</v>
      </c>
      <c r="P69" s="243" t="str">
        <f t="shared" ref="P69:P80" si="4">IF(N69="プルダウン",B69,"")</f>
        <v/>
      </c>
      <c r="Q69" s="243" t="str">
        <f t="shared" ref="Q69:Q80" si="5">IF(N69="代表的なエネルギー",O69,IF(N69="プルダウン",P69,""))</f>
        <v/>
      </c>
      <c r="R69" s="267" t="str">
        <f t="shared" ref="R69:R80" si="6">IFERROR(H69*J69*44/12,"")</f>
        <v/>
      </c>
      <c r="S69" s="243" t="str">
        <f t="shared" ref="S69:S80" si="7">"t-CO2/"&amp;G69</f>
        <v>t-CO2/千kWh</v>
      </c>
    </row>
    <row r="70" spans="1:19">
      <c r="A70" s="675"/>
      <c r="B70" s="323" t="s">
        <v>4020</v>
      </c>
      <c r="C70" s="324" t="s">
        <v>4000</v>
      </c>
      <c r="D70" s="666"/>
      <c r="E70" s="664" t="s">
        <v>4021</v>
      </c>
      <c r="F70" s="350" t="s">
        <v>4009</v>
      </c>
      <c r="G70" s="307" t="s">
        <v>4001</v>
      </c>
      <c r="H70" s="340">
        <v>8.64</v>
      </c>
      <c r="I70" s="341" t="s">
        <v>4002</v>
      </c>
      <c r="J70" s="299" t="s">
        <v>3932</v>
      </c>
      <c r="K70" s="300"/>
      <c r="M70" s="245" t="s">
        <v>24</v>
      </c>
      <c r="N70" s="245" t="s">
        <v>4052</v>
      </c>
      <c r="P70" s="243" t="str">
        <f t="shared" si="4"/>
        <v/>
      </c>
      <c r="Q70" s="243" t="str">
        <f t="shared" si="5"/>
        <v/>
      </c>
      <c r="R70" s="267" t="str">
        <f t="shared" si="6"/>
        <v/>
      </c>
      <c r="S70" s="243" t="str">
        <f t="shared" si="7"/>
        <v>t-CO2/千kWh</v>
      </c>
    </row>
    <row r="71" spans="1:19">
      <c r="A71" s="675"/>
      <c r="B71" s="323" t="s">
        <v>4022</v>
      </c>
      <c r="C71" s="324" t="s">
        <v>4000</v>
      </c>
      <c r="D71" s="667"/>
      <c r="E71" s="663"/>
      <c r="F71" s="350" t="s">
        <v>4011</v>
      </c>
      <c r="G71" s="307" t="s">
        <v>4001</v>
      </c>
      <c r="H71" s="340">
        <v>8.64</v>
      </c>
      <c r="I71" s="341" t="s">
        <v>4002</v>
      </c>
      <c r="J71" s="299" t="s">
        <v>3932</v>
      </c>
      <c r="K71" s="300"/>
      <c r="M71" s="245" t="s">
        <v>24</v>
      </c>
      <c r="N71" s="245" t="s">
        <v>4052</v>
      </c>
      <c r="P71" s="243" t="str">
        <f t="shared" si="4"/>
        <v/>
      </c>
      <c r="Q71" s="243" t="str">
        <f t="shared" si="5"/>
        <v/>
      </c>
      <c r="R71" s="267" t="str">
        <f t="shared" si="6"/>
        <v/>
      </c>
      <c r="S71" s="243" t="str">
        <f t="shared" si="7"/>
        <v>t-CO2/千kWh</v>
      </c>
    </row>
    <row r="72" spans="1:19">
      <c r="A72" s="675"/>
      <c r="B72" s="323" t="s">
        <v>4023</v>
      </c>
      <c r="C72" s="324" t="s">
        <v>4000</v>
      </c>
      <c r="D72" s="665" t="s">
        <v>4024</v>
      </c>
      <c r="E72" s="355" t="s">
        <v>4019</v>
      </c>
      <c r="F72" s="354"/>
      <c r="G72" s="307" t="s">
        <v>4001</v>
      </c>
      <c r="H72" s="352">
        <v>3.6</v>
      </c>
      <c r="I72" s="341" t="s">
        <v>4002</v>
      </c>
      <c r="J72" s="299" t="s">
        <v>3932</v>
      </c>
      <c r="K72" s="300"/>
      <c r="M72" s="245" t="s">
        <v>24</v>
      </c>
      <c r="N72" s="245" t="s">
        <v>4052</v>
      </c>
      <c r="P72" s="243" t="str">
        <f t="shared" si="4"/>
        <v/>
      </c>
      <c r="Q72" s="243" t="str">
        <f t="shared" si="5"/>
        <v/>
      </c>
      <c r="R72" s="267" t="str">
        <f t="shared" si="6"/>
        <v/>
      </c>
      <c r="S72" s="243" t="str">
        <f t="shared" si="7"/>
        <v>t-CO2/千kWh</v>
      </c>
    </row>
    <row r="73" spans="1:19">
      <c r="A73" s="675"/>
      <c r="B73" s="323" t="s">
        <v>4025</v>
      </c>
      <c r="C73" s="324" t="s">
        <v>4000</v>
      </c>
      <c r="D73" s="666"/>
      <c r="E73" s="664" t="s">
        <v>4021</v>
      </c>
      <c r="F73" s="350" t="s">
        <v>4009</v>
      </c>
      <c r="G73" s="307" t="s">
        <v>4001</v>
      </c>
      <c r="H73" s="340">
        <v>8.64</v>
      </c>
      <c r="I73" s="341" t="s">
        <v>4002</v>
      </c>
      <c r="J73" s="299" t="s">
        <v>3932</v>
      </c>
      <c r="K73" s="300"/>
      <c r="M73" s="245" t="s">
        <v>24</v>
      </c>
      <c r="N73" s="245" t="s">
        <v>4052</v>
      </c>
      <c r="P73" s="243" t="str">
        <f t="shared" si="4"/>
        <v/>
      </c>
      <c r="Q73" s="243" t="str">
        <f t="shared" si="5"/>
        <v/>
      </c>
      <c r="R73" s="267" t="str">
        <f t="shared" si="6"/>
        <v/>
      </c>
      <c r="S73" s="243" t="str">
        <f t="shared" si="7"/>
        <v>t-CO2/千kWh</v>
      </c>
    </row>
    <row r="74" spans="1:19">
      <c r="A74" s="675"/>
      <c r="B74" s="323" t="s">
        <v>4026</v>
      </c>
      <c r="C74" s="324" t="s">
        <v>4000</v>
      </c>
      <c r="D74" s="667"/>
      <c r="E74" s="663"/>
      <c r="F74" s="350" t="s">
        <v>4011</v>
      </c>
      <c r="G74" s="307" t="s">
        <v>4001</v>
      </c>
      <c r="H74" s="340">
        <v>8.64</v>
      </c>
      <c r="I74" s="341" t="s">
        <v>4002</v>
      </c>
      <c r="J74" s="299" t="s">
        <v>3932</v>
      </c>
      <c r="K74" s="300"/>
      <c r="M74" s="245" t="s">
        <v>24</v>
      </c>
      <c r="N74" s="245" t="s">
        <v>4052</v>
      </c>
      <c r="P74" s="243" t="str">
        <f t="shared" si="4"/>
        <v/>
      </c>
      <c r="Q74" s="243" t="str">
        <f t="shared" si="5"/>
        <v/>
      </c>
      <c r="R74" s="267" t="str">
        <f t="shared" si="6"/>
        <v/>
      </c>
      <c r="S74" s="243" t="str">
        <f t="shared" si="7"/>
        <v>t-CO2/千kWh</v>
      </c>
    </row>
    <row r="75" spans="1:19">
      <c r="A75" s="675"/>
      <c r="B75" s="323" t="s">
        <v>4027</v>
      </c>
      <c r="C75" s="324" t="s">
        <v>4000</v>
      </c>
      <c r="D75" s="665" t="s">
        <v>4028</v>
      </c>
      <c r="E75" s="356" t="s">
        <v>4029</v>
      </c>
      <c r="F75" s="354"/>
      <c r="G75" s="307" t="s">
        <v>4001</v>
      </c>
      <c r="H75" s="352">
        <v>3.6</v>
      </c>
      <c r="I75" s="341" t="s">
        <v>4002</v>
      </c>
      <c r="J75" s="299" t="s">
        <v>3932</v>
      </c>
      <c r="K75" s="300"/>
      <c r="M75" s="245" t="s">
        <v>24</v>
      </c>
      <c r="N75" s="245" t="s">
        <v>4052</v>
      </c>
      <c r="P75" s="243" t="str">
        <f t="shared" si="4"/>
        <v/>
      </c>
      <c r="Q75" s="243" t="str">
        <f t="shared" si="5"/>
        <v/>
      </c>
      <c r="R75" s="267" t="str">
        <f t="shared" si="6"/>
        <v/>
      </c>
      <c r="S75" s="243" t="str">
        <f t="shared" si="7"/>
        <v>t-CO2/千kWh</v>
      </c>
    </row>
    <row r="76" spans="1:19">
      <c r="A76" s="675"/>
      <c r="B76" s="323" t="s">
        <v>4030</v>
      </c>
      <c r="C76" s="324" t="s">
        <v>4000</v>
      </c>
      <c r="D76" s="666"/>
      <c r="E76" s="356" t="s">
        <v>4031</v>
      </c>
      <c r="F76" s="354"/>
      <c r="G76" s="307" t="s">
        <v>4001</v>
      </c>
      <c r="H76" s="352">
        <v>3.6</v>
      </c>
      <c r="I76" s="341" t="s">
        <v>4002</v>
      </c>
      <c r="J76" s="299" t="s">
        <v>3932</v>
      </c>
      <c r="K76" s="300"/>
      <c r="M76" s="245" t="s">
        <v>24</v>
      </c>
      <c r="N76" s="245" t="s">
        <v>4052</v>
      </c>
      <c r="P76" s="243" t="str">
        <f t="shared" si="4"/>
        <v/>
      </c>
      <c r="Q76" s="243" t="str">
        <f t="shared" si="5"/>
        <v/>
      </c>
      <c r="R76" s="267" t="str">
        <f t="shared" si="6"/>
        <v/>
      </c>
      <c r="S76" s="243" t="str">
        <f t="shared" si="7"/>
        <v>t-CO2/千kWh</v>
      </c>
    </row>
    <row r="77" spans="1:19">
      <c r="A77" s="675"/>
      <c r="B77" s="323" t="s">
        <v>4032</v>
      </c>
      <c r="C77" s="324" t="s">
        <v>4000</v>
      </c>
      <c r="D77" s="666"/>
      <c r="E77" s="356" t="s">
        <v>4033</v>
      </c>
      <c r="F77" s="354"/>
      <c r="G77" s="307" t="s">
        <v>4001</v>
      </c>
      <c r="H77" s="352">
        <v>3.6</v>
      </c>
      <c r="I77" s="341" t="s">
        <v>4002</v>
      </c>
      <c r="J77" s="299" t="s">
        <v>3932</v>
      </c>
      <c r="K77" s="300"/>
      <c r="M77" s="245" t="s">
        <v>24</v>
      </c>
      <c r="N77" s="245" t="s">
        <v>4052</v>
      </c>
      <c r="P77" s="243" t="str">
        <f t="shared" si="4"/>
        <v/>
      </c>
      <c r="Q77" s="243" t="str">
        <f t="shared" si="5"/>
        <v/>
      </c>
      <c r="R77" s="267" t="str">
        <f t="shared" si="6"/>
        <v/>
      </c>
      <c r="S77" s="243" t="str">
        <f t="shared" si="7"/>
        <v>t-CO2/千kWh</v>
      </c>
    </row>
    <row r="78" spans="1:19">
      <c r="A78" s="675"/>
      <c r="B78" s="323" t="s">
        <v>4034</v>
      </c>
      <c r="C78" s="324" t="s">
        <v>4000</v>
      </c>
      <c r="D78" s="666"/>
      <c r="E78" s="356" t="s">
        <v>4035</v>
      </c>
      <c r="F78" s="354"/>
      <c r="G78" s="307" t="s">
        <v>4001</v>
      </c>
      <c r="H78" s="352">
        <v>3.6</v>
      </c>
      <c r="I78" s="341" t="s">
        <v>4002</v>
      </c>
      <c r="J78" s="299" t="s">
        <v>3932</v>
      </c>
      <c r="K78" s="300"/>
      <c r="M78" s="245" t="s">
        <v>24</v>
      </c>
      <c r="N78" s="245" t="s">
        <v>4052</v>
      </c>
      <c r="P78" s="243" t="str">
        <f t="shared" si="4"/>
        <v/>
      </c>
      <c r="Q78" s="243" t="str">
        <f t="shared" si="5"/>
        <v/>
      </c>
      <c r="R78" s="267" t="str">
        <f t="shared" si="6"/>
        <v/>
      </c>
      <c r="S78" s="243" t="str">
        <f t="shared" si="7"/>
        <v>t-CO2/千kWh</v>
      </c>
    </row>
    <row r="79" spans="1:19" ht="37.5">
      <c r="A79" s="675"/>
      <c r="B79" s="323" t="s">
        <v>4036</v>
      </c>
      <c r="C79" s="324" t="s">
        <v>4000</v>
      </c>
      <c r="D79" s="666"/>
      <c r="E79" s="680" t="s">
        <v>4037</v>
      </c>
      <c r="F79" s="357" t="s">
        <v>4038</v>
      </c>
      <c r="G79" s="307" t="s">
        <v>4001</v>
      </c>
      <c r="H79" s="352">
        <v>3.6</v>
      </c>
      <c r="I79" s="341" t="s">
        <v>4002</v>
      </c>
      <c r="J79" s="299" t="s">
        <v>3932</v>
      </c>
      <c r="K79" s="300"/>
      <c r="M79" s="245" t="s">
        <v>24</v>
      </c>
      <c r="N79" s="245" t="s">
        <v>4052</v>
      </c>
      <c r="P79" s="243" t="str">
        <f t="shared" si="4"/>
        <v/>
      </c>
      <c r="Q79" s="243" t="str">
        <f t="shared" si="5"/>
        <v/>
      </c>
      <c r="R79" s="267" t="str">
        <f t="shared" si="6"/>
        <v/>
      </c>
      <c r="S79" s="243" t="str">
        <f t="shared" si="7"/>
        <v>t-CO2/千kWh</v>
      </c>
    </row>
    <row r="80" spans="1:19">
      <c r="A80" s="676"/>
      <c r="B80" s="328" t="s">
        <v>4039</v>
      </c>
      <c r="C80" s="329" t="s">
        <v>4000</v>
      </c>
      <c r="D80" s="679"/>
      <c r="E80" s="681"/>
      <c r="F80" s="358" t="s">
        <v>4040</v>
      </c>
      <c r="G80" s="315" t="s">
        <v>4001</v>
      </c>
      <c r="H80" s="331" t="s">
        <v>3932</v>
      </c>
      <c r="I80" s="332"/>
      <c r="J80" s="331" t="s">
        <v>3932</v>
      </c>
      <c r="K80" s="332"/>
      <c r="M80" s="245" t="s">
        <v>24</v>
      </c>
      <c r="N80" s="245" t="s">
        <v>4052</v>
      </c>
      <c r="P80" s="243" t="str">
        <f t="shared" si="4"/>
        <v/>
      </c>
      <c r="Q80" s="243" t="str">
        <f t="shared" si="5"/>
        <v/>
      </c>
      <c r="R80" s="267" t="str">
        <f t="shared" si="6"/>
        <v/>
      </c>
      <c r="S80" s="243" t="str">
        <f t="shared" si="7"/>
        <v>t-CO2/千kWh</v>
      </c>
    </row>
  </sheetData>
  <sheetProtection algorithmName="SHA-512" hashValue="aJ1Ui54NdIQ/Zaivlfcq25yMyE9wlAgfPOLi51HYHls2qASqZfoBLJtuqIAtQ/snWVedicmszV+8OXk4zO5Iaw==" saltValue="QGn9tSYVbn0jMH1MbKRuSg==" spinCount="100000" sheet="1" objects="1" scenarios="1" selectLockedCells="1"/>
  <mergeCells count="21">
    <mergeCell ref="A33:A49"/>
    <mergeCell ref="D43:D44"/>
    <mergeCell ref="A4:A32"/>
    <mergeCell ref="D15:D16"/>
    <mergeCell ref="D17:D18"/>
    <mergeCell ref="D19:D24"/>
    <mergeCell ref="A50:A61"/>
    <mergeCell ref="A62:A80"/>
    <mergeCell ref="D65:D68"/>
    <mergeCell ref="D72:D74"/>
    <mergeCell ref="E73:E74"/>
    <mergeCell ref="D75:D80"/>
    <mergeCell ref="E79:E80"/>
    <mergeCell ref="R2:S2"/>
    <mergeCell ref="R3:S3"/>
    <mergeCell ref="E65:E66"/>
    <mergeCell ref="E67:E68"/>
    <mergeCell ref="D69:D71"/>
    <mergeCell ref="E70:E71"/>
    <mergeCell ref="E19:E21"/>
    <mergeCell ref="E22:E23"/>
  </mergeCells>
  <phoneticPr fontId="4"/>
  <dataValidations count="1">
    <dataValidation type="list" allowBlank="1" showInputMessage="1" showErrorMessage="1" sqref="N4:N80" xr:uid="{5C06A512-E67E-4B78-8ED8-6C0B5719F407}">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B2A2-FF82-411F-BEA7-7E6E0DEF83B6}">
  <sheetPr>
    <pageSetUpPr fitToPage="1"/>
  </sheetPr>
  <dimension ref="A1:T80"/>
  <sheetViews>
    <sheetView zoomScale="70" zoomScaleNormal="70" workbookViewId="0">
      <pane ySplit="3" topLeftCell="A4" activePane="bottomLeft" state="frozen"/>
      <selection activeCell="F8" sqref="F8:O8"/>
      <selection pane="bottomLeft" sqref="A1:XFD1048576"/>
    </sheetView>
  </sheetViews>
  <sheetFormatPr defaultColWidth="8.125" defaultRowHeight="18.75"/>
  <cols>
    <col min="1" max="1" width="4.625" style="243" customWidth="1"/>
    <col min="2" max="2" width="46.25" style="243" customWidth="1"/>
    <col min="3" max="3" width="13.375" style="243" customWidth="1"/>
    <col min="4" max="4" width="10.5" style="243" customWidth="1"/>
    <col min="5" max="5" width="11.875" style="243" customWidth="1"/>
    <col min="6" max="6" width="16.625" style="243" customWidth="1"/>
    <col min="7" max="7" width="8.125" style="243"/>
    <col min="8" max="11" width="8.625" style="243" customWidth="1"/>
    <col min="12" max="12" width="3.125" style="243" customWidth="1"/>
    <col min="13" max="13" width="19" style="245" customWidth="1"/>
    <col min="14" max="14" width="20.875" style="245" customWidth="1"/>
    <col min="15" max="15" width="18.875" style="243" customWidth="1"/>
    <col min="16" max="16" width="33.75" style="243" customWidth="1"/>
    <col min="17" max="17" width="39.375" style="243" customWidth="1"/>
    <col min="18" max="18" width="11.25" style="243" customWidth="1"/>
    <col min="19" max="19" width="15.625" style="243" customWidth="1"/>
    <col min="20" max="16384" width="8.125" style="243"/>
  </cols>
  <sheetData>
    <row r="1" spans="1:19" ht="22.5">
      <c r="A1" s="242" t="s">
        <v>4053</v>
      </c>
      <c r="M1" s="244" t="s">
        <v>4274</v>
      </c>
    </row>
    <row r="2" spans="1:19">
      <c r="A2" s="246" t="s">
        <v>4041</v>
      </c>
      <c r="B2" s="246"/>
      <c r="C2" s="246"/>
      <c r="D2" s="247"/>
      <c r="E2" s="247"/>
      <c r="F2" s="247"/>
      <c r="G2" s="247"/>
      <c r="H2" s="247"/>
      <c r="I2" s="247"/>
      <c r="J2" s="247"/>
      <c r="K2" s="247"/>
      <c r="L2" s="248"/>
      <c r="M2" s="244" t="s">
        <v>4076</v>
      </c>
      <c r="N2" s="244" t="s">
        <v>4076</v>
      </c>
      <c r="O2" s="244" t="s">
        <v>4076</v>
      </c>
      <c r="P2" s="245" t="s">
        <v>4077</v>
      </c>
      <c r="Q2" s="245" t="s">
        <v>4077</v>
      </c>
      <c r="R2" s="661" t="s">
        <v>4077</v>
      </c>
      <c r="S2" s="661"/>
    </row>
    <row r="3" spans="1:19" ht="60.95" customHeight="1">
      <c r="A3" s="249"/>
      <c r="B3" s="250" t="s">
        <v>3894</v>
      </c>
      <c r="C3" s="250" t="s">
        <v>3895</v>
      </c>
      <c r="D3" s="251" t="s">
        <v>3899</v>
      </c>
      <c r="E3" s="251"/>
      <c r="F3" s="252"/>
      <c r="G3" s="253" t="s">
        <v>3896</v>
      </c>
      <c r="H3" s="254" t="s">
        <v>3897</v>
      </c>
      <c r="I3" s="255"/>
      <c r="J3" s="254" t="s">
        <v>3898</v>
      </c>
      <c r="K3" s="256"/>
      <c r="L3" s="257"/>
      <c r="M3" s="258" t="s">
        <v>4114</v>
      </c>
      <c r="N3" s="245" t="s">
        <v>4045</v>
      </c>
      <c r="O3" s="258" t="s">
        <v>4054</v>
      </c>
      <c r="P3" s="258" t="s">
        <v>4056</v>
      </c>
      <c r="Q3" s="245" t="s">
        <v>4075</v>
      </c>
      <c r="R3" s="661" t="s">
        <v>3</v>
      </c>
      <c r="S3" s="661"/>
    </row>
    <row r="4" spans="1:19" ht="17.45" customHeight="1">
      <c r="A4" s="687" t="s">
        <v>3900</v>
      </c>
      <c r="B4" s="259" t="s">
        <v>3901</v>
      </c>
      <c r="C4" s="260" t="s">
        <v>3902</v>
      </c>
      <c r="D4" s="261" t="s">
        <v>3901</v>
      </c>
      <c r="E4" s="261"/>
      <c r="F4" s="261"/>
      <c r="G4" s="262" t="s">
        <v>3903</v>
      </c>
      <c r="H4" s="263">
        <v>38.299999999999997</v>
      </c>
      <c r="I4" s="264" t="s">
        <v>3904</v>
      </c>
      <c r="J4" s="265">
        <v>1.9E-2</v>
      </c>
      <c r="K4" s="266" t="s">
        <v>3905</v>
      </c>
      <c r="M4" s="245" t="s">
        <v>26</v>
      </c>
      <c r="N4" s="245" t="s">
        <v>4046</v>
      </c>
      <c r="P4" s="243" t="str">
        <f>IF(N4="プルダウン",B4,"")</f>
        <v>原油（コンデンセートを除く。）</v>
      </c>
      <c r="Q4" s="243" t="str">
        <f>IF(N4="代表的なエネルギー",O4,IF(N4="プルダウン",P4,""))</f>
        <v>原油（コンデンセートを除く。）</v>
      </c>
      <c r="R4" s="267">
        <f>IFERROR(H4*J4*44/12,"")</f>
        <v>2.6682333333333332</v>
      </c>
      <c r="S4" s="243" t="str">
        <f>"t-CO2/"&amp;G4</f>
        <v>t-CO2/kl</v>
      </c>
    </row>
    <row r="5" spans="1:19">
      <c r="A5" s="688"/>
      <c r="B5" s="268" t="s">
        <v>3906</v>
      </c>
      <c r="C5" s="269" t="s">
        <v>3902</v>
      </c>
      <c r="D5" s="270" t="s">
        <v>3906</v>
      </c>
      <c r="E5" s="270"/>
      <c r="F5" s="270"/>
      <c r="G5" s="271" t="s">
        <v>3903</v>
      </c>
      <c r="H5" s="272">
        <v>34.799999999999997</v>
      </c>
      <c r="I5" s="273" t="s">
        <v>3904</v>
      </c>
      <c r="J5" s="274">
        <v>1.83E-2</v>
      </c>
      <c r="K5" s="275" t="s">
        <v>3905</v>
      </c>
      <c r="M5" s="245" t="s">
        <v>26</v>
      </c>
      <c r="N5" s="245" t="s">
        <v>4046</v>
      </c>
      <c r="P5" s="243" t="str">
        <f t="shared" ref="P5:P68" si="0">IF(N5="プルダウン",B5,"")</f>
        <v>原油のうちコンデンセート(NGL)</v>
      </c>
      <c r="Q5" s="243" t="str">
        <f t="shared" ref="Q5:Q68" si="1">IF(N5="代表的なエネルギー",O5,IF(N5="プルダウン",P5,""))</f>
        <v>原油のうちコンデンセート(NGL)</v>
      </c>
      <c r="R5" s="267">
        <f t="shared" ref="R5:R68" si="2">IFERROR(H5*J5*44/12,"")</f>
        <v>2.33508</v>
      </c>
      <c r="S5" s="243" t="str">
        <f t="shared" ref="S5:S68" si="3">"t-CO2/"&amp;G5</f>
        <v>t-CO2/kl</v>
      </c>
    </row>
    <row r="6" spans="1:19">
      <c r="A6" s="688"/>
      <c r="B6" s="268" t="s">
        <v>3908</v>
      </c>
      <c r="C6" s="269" t="s">
        <v>3902</v>
      </c>
      <c r="D6" s="276" t="s">
        <v>3907</v>
      </c>
      <c r="E6" s="276"/>
      <c r="F6" s="276"/>
      <c r="G6" s="277" t="s">
        <v>3903</v>
      </c>
      <c r="H6" s="278">
        <v>33.4</v>
      </c>
      <c r="I6" s="279" t="s">
        <v>3904</v>
      </c>
      <c r="J6" s="280">
        <v>1.8700000000000001E-2</v>
      </c>
      <c r="K6" s="281" t="s">
        <v>3905</v>
      </c>
      <c r="M6" s="245" t="s">
        <v>26</v>
      </c>
      <c r="N6" s="245" t="s">
        <v>4046</v>
      </c>
      <c r="P6" s="243" t="str">
        <f t="shared" si="0"/>
        <v>揮発油</v>
      </c>
      <c r="Q6" s="243" t="str">
        <f t="shared" si="1"/>
        <v>揮発油</v>
      </c>
      <c r="R6" s="267">
        <f t="shared" si="2"/>
        <v>2.2901266666666666</v>
      </c>
      <c r="S6" s="243" t="str">
        <f t="shared" si="3"/>
        <v>t-CO2/kl</v>
      </c>
    </row>
    <row r="7" spans="1:19">
      <c r="A7" s="688"/>
      <c r="B7" s="268" t="s">
        <v>3909</v>
      </c>
      <c r="C7" s="269" t="s">
        <v>3902</v>
      </c>
      <c r="D7" s="276" t="s">
        <v>3909</v>
      </c>
      <c r="E7" s="276"/>
      <c r="F7" s="276"/>
      <c r="G7" s="277" t="s">
        <v>3903</v>
      </c>
      <c r="H7" s="278">
        <v>33.299999999999997</v>
      </c>
      <c r="I7" s="279" t="s">
        <v>3904</v>
      </c>
      <c r="J7" s="280">
        <v>1.8599999999999998E-2</v>
      </c>
      <c r="K7" s="281" t="s">
        <v>3905</v>
      </c>
      <c r="M7" s="245" t="s">
        <v>26</v>
      </c>
      <c r="N7" s="245" t="s">
        <v>4046</v>
      </c>
      <c r="P7" s="243" t="str">
        <f t="shared" si="0"/>
        <v>ナフサ</v>
      </c>
      <c r="Q7" s="243" t="str">
        <f t="shared" si="1"/>
        <v>ナフサ</v>
      </c>
      <c r="R7" s="267">
        <f t="shared" si="2"/>
        <v>2.2710599999999999</v>
      </c>
      <c r="S7" s="243" t="str">
        <f t="shared" si="3"/>
        <v>t-CO2/kl</v>
      </c>
    </row>
    <row r="8" spans="1:19">
      <c r="A8" s="688"/>
      <c r="B8" s="268" t="s">
        <v>3911</v>
      </c>
      <c r="C8" s="269" t="s">
        <v>3902</v>
      </c>
      <c r="D8" s="276" t="s">
        <v>3910</v>
      </c>
      <c r="E8" s="276"/>
      <c r="F8" s="276"/>
      <c r="G8" s="277" t="s">
        <v>3903</v>
      </c>
      <c r="H8" s="278">
        <v>36.299999999999997</v>
      </c>
      <c r="I8" s="279" t="s">
        <v>3904</v>
      </c>
      <c r="J8" s="280">
        <v>1.8599999999999998E-2</v>
      </c>
      <c r="K8" s="281" t="s">
        <v>3905</v>
      </c>
      <c r="M8" s="245" t="s">
        <v>26</v>
      </c>
      <c r="N8" s="245" t="s">
        <v>4046</v>
      </c>
      <c r="P8" s="243" t="str">
        <f t="shared" si="0"/>
        <v>ジェット燃料油</v>
      </c>
      <c r="Q8" s="243" t="str">
        <f t="shared" si="1"/>
        <v>ジェット燃料油</v>
      </c>
      <c r="R8" s="267">
        <f t="shared" si="2"/>
        <v>2.4756599999999995</v>
      </c>
      <c r="S8" s="243" t="str">
        <f t="shared" si="3"/>
        <v>t-CO2/kl</v>
      </c>
    </row>
    <row r="9" spans="1:19">
      <c r="A9" s="688"/>
      <c r="B9" s="268" t="s">
        <v>3912</v>
      </c>
      <c r="C9" s="269" t="s">
        <v>3902</v>
      </c>
      <c r="D9" s="276" t="s">
        <v>3912</v>
      </c>
      <c r="E9" s="276"/>
      <c r="F9" s="276"/>
      <c r="G9" s="277" t="s">
        <v>3903</v>
      </c>
      <c r="H9" s="278">
        <v>36.5</v>
      </c>
      <c r="I9" s="279" t="s">
        <v>3904</v>
      </c>
      <c r="J9" s="280">
        <v>1.8700000000000001E-2</v>
      </c>
      <c r="K9" s="281" t="s">
        <v>3905</v>
      </c>
      <c r="M9" s="245" t="s">
        <v>26</v>
      </c>
      <c r="N9" s="245" t="s">
        <v>4044</v>
      </c>
      <c r="O9" s="243" t="s">
        <v>6</v>
      </c>
      <c r="P9" s="243" t="str">
        <f t="shared" si="0"/>
        <v/>
      </c>
      <c r="Q9" s="243" t="str">
        <f t="shared" si="1"/>
        <v>灯油</v>
      </c>
      <c r="R9" s="267">
        <f t="shared" si="2"/>
        <v>2.5026833333333336</v>
      </c>
      <c r="S9" s="243" t="str">
        <f t="shared" si="3"/>
        <v>t-CO2/kl</v>
      </c>
    </row>
    <row r="10" spans="1:19">
      <c r="A10" s="688"/>
      <c r="B10" s="268" t="s">
        <v>3913</v>
      </c>
      <c r="C10" s="269" t="s">
        <v>3902</v>
      </c>
      <c r="D10" s="276" t="s">
        <v>3913</v>
      </c>
      <c r="E10" s="276"/>
      <c r="F10" s="276"/>
      <c r="G10" s="277" t="s">
        <v>3903</v>
      </c>
      <c r="H10" s="278">
        <v>38</v>
      </c>
      <c r="I10" s="279" t="s">
        <v>3904</v>
      </c>
      <c r="J10" s="280">
        <v>1.8800000000000001E-2</v>
      </c>
      <c r="K10" s="281" t="s">
        <v>3905</v>
      </c>
      <c r="M10" s="245" t="s">
        <v>26</v>
      </c>
      <c r="N10" s="245" t="s">
        <v>4046</v>
      </c>
      <c r="P10" s="243" t="str">
        <f t="shared" si="0"/>
        <v>軽油</v>
      </c>
      <c r="Q10" s="243" t="str">
        <f t="shared" si="1"/>
        <v>軽油</v>
      </c>
      <c r="R10" s="267">
        <f t="shared" si="2"/>
        <v>2.6194666666666668</v>
      </c>
      <c r="S10" s="243" t="str">
        <f t="shared" si="3"/>
        <v>t-CO2/kl</v>
      </c>
    </row>
    <row r="11" spans="1:19">
      <c r="A11" s="688"/>
      <c r="B11" s="268" t="s">
        <v>4055</v>
      </c>
      <c r="C11" s="269" t="s">
        <v>3902</v>
      </c>
      <c r="D11" s="276" t="s">
        <v>3914</v>
      </c>
      <c r="E11" s="276"/>
      <c r="F11" s="276"/>
      <c r="G11" s="277" t="s">
        <v>3903</v>
      </c>
      <c r="H11" s="278">
        <v>38.9</v>
      </c>
      <c r="I11" s="279" t="s">
        <v>3904</v>
      </c>
      <c r="J11" s="280">
        <v>1.9300000000000001E-2</v>
      </c>
      <c r="K11" s="281" t="s">
        <v>3905</v>
      </c>
      <c r="M11" s="245" t="s">
        <v>26</v>
      </c>
      <c r="N11" s="245" t="s">
        <v>4046</v>
      </c>
      <c r="P11" s="243" t="str">
        <f t="shared" si="0"/>
        <v>Ａ重油</v>
      </c>
      <c r="Q11" s="243" t="str">
        <f t="shared" si="1"/>
        <v>Ａ重油</v>
      </c>
      <c r="R11" s="267">
        <f t="shared" si="2"/>
        <v>2.7528233333333336</v>
      </c>
      <c r="S11" s="243" t="str">
        <f t="shared" si="3"/>
        <v>t-CO2/kl</v>
      </c>
    </row>
    <row r="12" spans="1:19">
      <c r="A12" s="688"/>
      <c r="B12" s="268" t="s">
        <v>3915</v>
      </c>
      <c r="C12" s="269" t="s">
        <v>3902</v>
      </c>
      <c r="D12" s="276" t="s">
        <v>3915</v>
      </c>
      <c r="E12" s="276"/>
      <c r="F12" s="276"/>
      <c r="G12" s="277" t="s">
        <v>3903</v>
      </c>
      <c r="H12" s="278">
        <v>41.8</v>
      </c>
      <c r="I12" s="279" t="s">
        <v>3904</v>
      </c>
      <c r="J12" s="280">
        <v>2.0199999999999999E-2</v>
      </c>
      <c r="K12" s="281" t="s">
        <v>3905</v>
      </c>
      <c r="M12" s="245" t="s">
        <v>26</v>
      </c>
      <c r="N12" s="245" t="s">
        <v>4046</v>
      </c>
      <c r="P12" s="243" t="str">
        <f t="shared" si="0"/>
        <v>Ｂ・Ｃ重油</v>
      </c>
      <c r="Q12" s="243" t="str">
        <f t="shared" si="1"/>
        <v>Ｂ・Ｃ重油</v>
      </c>
      <c r="R12" s="267">
        <f t="shared" si="2"/>
        <v>3.0959866666666662</v>
      </c>
      <c r="S12" s="243" t="str">
        <f t="shared" si="3"/>
        <v>t-CO2/kl</v>
      </c>
    </row>
    <row r="13" spans="1:19">
      <c r="A13" s="688"/>
      <c r="B13" s="268" t="s">
        <v>3916</v>
      </c>
      <c r="C13" s="269" t="s">
        <v>3902</v>
      </c>
      <c r="D13" s="276" t="s">
        <v>3916</v>
      </c>
      <c r="E13" s="276"/>
      <c r="F13" s="276"/>
      <c r="G13" s="277" t="s">
        <v>3917</v>
      </c>
      <c r="H13" s="278">
        <v>40</v>
      </c>
      <c r="I13" s="279" t="s">
        <v>3918</v>
      </c>
      <c r="J13" s="280">
        <v>2.0400000000000001E-2</v>
      </c>
      <c r="K13" s="281" t="s">
        <v>3905</v>
      </c>
      <c r="M13" s="245" t="s">
        <v>4042</v>
      </c>
      <c r="N13" s="245" t="s">
        <v>4046</v>
      </c>
      <c r="P13" s="243" t="str">
        <f t="shared" si="0"/>
        <v>石油アスファルト</v>
      </c>
      <c r="Q13" s="243" t="str">
        <f t="shared" si="1"/>
        <v>石油アスファルト</v>
      </c>
      <c r="R13" s="267">
        <f t="shared" si="2"/>
        <v>2.9920000000000004</v>
      </c>
      <c r="S13" s="243" t="str">
        <f t="shared" si="3"/>
        <v>t-CO2/t</v>
      </c>
    </row>
    <row r="14" spans="1:19">
      <c r="A14" s="688"/>
      <c r="B14" s="268" t="s">
        <v>3919</v>
      </c>
      <c r="C14" s="269" t="s">
        <v>3902</v>
      </c>
      <c r="D14" s="276" t="s">
        <v>3919</v>
      </c>
      <c r="E14" s="276"/>
      <c r="F14" s="276"/>
      <c r="G14" s="277" t="s">
        <v>3917</v>
      </c>
      <c r="H14" s="278">
        <v>34.1</v>
      </c>
      <c r="I14" s="279" t="s">
        <v>3918</v>
      </c>
      <c r="J14" s="280">
        <v>2.4500000000000001E-2</v>
      </c>
      <c r="K14" s="281" t="s">
        <v>3905</v>
      </c>
      <c r="M14" s="245" t="s">
        <v>4042</v>
      </c>
      <c r="N14" s="245" t="s">
        <v>4046</v>
      </c>
      <c r="P14" s="243" t="str">
        <f t="shared" si="0"/>
        <v>石油コークス</v>
      </c>
      <c r="Q14" s="243" t="str">
        <f t="shared" si="1"/>
        <v>石油コークス</v>
      </c>
      <c r="R14" s="267">
        <f t="shared" si="2"/>
        <v>3.0633166666666667</v>
      </c>
      <c r="S14" s="243" t="str">
        <f t="shared" si="3"/>
        <v>t-CO2/t</v>
      </c>
    </row>
    <row r="15" spans="1:19" ht="20.25">
      <c r="A15" s="688"/>
      <c r="B15" s="268" t="s">
        <v>4270</v>
      </c>
      <c r="C15" s="269" t="s">
        <v>3902</v>
      </c>
      <c r="D15" s="690" t="s">
        <v>3920</v>
      </c>
      <c r="E15" s="282" t="s">
        <v>3921</v>
      </c>
      <c r="F15" s="276"/>
      <c r="G15" s="277" t="s">
        <v>3917</v>
      </c>
      <c r="H15" s="278">
        <v>50.1</v>
      </c>
      <c r="I15" s="279" t="s">
        <v>3918</v>
      </c>
      <c r="J15" s="280">
        <v>1.6299999999999999E-2</v>
      </c>
      <c r="K15" s="281" t="s">
        <v>3905</v>
      </c>
      <c r="M15" s="244" t="s">
        <v>4115</v>
      </c>
      <c r="N15" s="245" t="s">
        <v>4044</v>
      </c>
      <c r="O15" s="243" t="s">
        <v>5</v>
      </c>
      <c r="P15" s="243" t="str">
        <f t="shared" si="0"/>
        <v/>
      </c>
      <c r="Q15" s="243" t="str">
        <f t="shared" si="1"/>
        <v>プロパンガス</v>
      </c>
      <c r="R15" s="267">
        <f t="shared" si="2"/>
        <v>2.99431</v>
      </c>
      <c r="S15" s="243" t="str">
        <f t="shared" si="3"/>
        <v>t-CO2/t</v>
      </c>
    </row>
    <row r="16" spans="1:19" ht="18" customHeight="1">
      <c r="A16" s="688"/>
      <c r="B16" s="268" t="s">
        <v>3922</v>
      </c>
      <c r="C16" s="269" t="s">
        <v>3902</v>
      </c>
      <c r="D16" s="691"/>
      <c r="E16" s="282" t="s">
        <v>3923</v>
      </c>
      <c r="F16" s="276"/>
      <c r="G16" s="283" t="s">
        <v>4153</v>
      </c>
      <c r="H16" s="278">
        <v>46.1</v>
      </c>
      <c r="I16" s="279" t="s">
        <v>3924</v>
      </c>
      <c r="J16" s="280">
        <v>1.44E-2</v>
      </c>
      <c r="K16" s="281" t="s">
        <v>3905</v>
      </c>
      <c r="M16" s="245" t="s">
        <v>25</v>
      </c>
      <c r="N16" s="245" t="s">
        <v>4046</v>
      </c>
      <c r="P16" s="243" t="str">
        <f t="shared" si="0"/>
        <v>石油系炭化水素ガス</v>
      </c>
      <c r="Q16" s="243" t="str">
        <f t="shared" si="1"/>
        <v>石油系炭化水素ガス</v>
      </c>
      <c r="R16" s="267">
        <f t="shared" si="2"/>
        <v>2.4340799999999998</v>
      </c>
      <c r="S16" s="243" t="str">
        <f t="shared" si="3"/>
        <v>t-CO2/千m3</v>
      </c>
    </row>
    <row r="17" spans="1:20" ht="17.45" customHeight="1">
      <c r="A17" s="688"/>
      <c r="B17" s="268" t="s">
        <v>4269</v>
      </c>
      <c r="C17" s="269" t="s">
        <v>3902</v>
      </c>
      <c r="D17" s="690" t="s">
        <v>3926</v>
      </c>
      <c r="E17" s="282" t="s">
        <v>3925</v>
      </c>
      <c r="F17" s="276"/>
      <c r="G17" s="277" t="s">
        <v>3917</v>
      </c>
      <c r="H17" s="278">
        <v>54.7</v>
      </c>
      <c r="I17" s="279" t="s">
        <v>3918</v>
      </c>
      <c r="J17" s="280">
        <v>1.3899999999999999E-2</v>
      </c>
      <c r="K17" s="281" t="s">
        <v>3905</v>
      </c>
      <c r="M17" s="245" t="s">
        <v>4042</v>
      </c>
      <c r="N17" s="245" t="s">
        <v>4046</v>
      </c>
      <c r="P17" s="243" t="str">
        <f t="shared" si="0"/>
        <v>液化天然ガス(LNG)</v>
      </c>
      <c r="Q17" s="243" t="str">
        <f t="shared" si="1"/>
        <v>液化天然ガス(LNG)</v>
      </c>
      <c r="R17" s="267">
        <f t="shared" si="2"/>
        <v>2.7878766666666661</v>
      </c>
      <c r="S17" s="243" t="str">
        <f t="shared" si="3"/>
        <v>t-CO2/t</v>
      </c>
    </row>
    <row r="18" spans="1:20" ht="20.25">
      <c r="A18" s="688"/>
      <c r="B18" s="268" t="s">
        <v>3927</v>
      </c>
      <c r="C18" s="269" t="s">
        <v>3902</v>
      </c>
      <c r="D18" s="691"/>
      <c r="E18" s="282" t="s">
        <v>3927</v>
      </c>
      <c r="F18" s="276"/>
      <c r="G18" s="283" t="s">
        <v>4153</v>
      </c>
      <c r="H18" s="278">
        <v>38.4</v>
      </c>
      <c r="I18" s="279" t="s">
        <v>3924</v>
      </c>
      <c r="J18" s="280">
        <v>1.3899999999999999E-2</v>
      </c>
      <c r="K18" s="281" t="s">
        <v>3905</v>
      </c>
      <c r="M18" s="245" t="s">
        <v>25</v>
      </c>
      <c r="N18" s="245" t="s">
        <v>4046</v>
      </c>
      <c r="P18" s="243" t="str">
        <f t="shared" si="0"/>
        <v>その他可燃性天然ガス</v>
      </c>
      <c r="Q18" s="243" t="str">
        <f t="shared" si="1"/>
        <v>その他可燃性天然ガス</v>
      </c>
      <c r="R18" s="267">
        <f t="shared" si="2"/>
        <v>1.9571199999999997</v>
      </c>
      <c r="S18" s="243" t="str">
        <f t="shared" si="3"/>
        <v>t-CO2/千m3</v>
      </c>
    </row>
    <row r="19" spans="1:20">
      <c r="A19" s="688"/>
      <c r="B19" s="268" t="s">
        <v>3930</v>
      </c>
      <c r="C19" s="269" t="s">
        <v>3902</v>
      </c>
      <c r="D19" s="692" t="s">
        <v>3928</v>
      </c>
      <c r="E19" s="668" t="s">
        <v>3929</v>
      </c>
      <c r="F19" s="282" t="s">
        <v>3930</v>
      </c>
      <c r="G19" s="277" t="s">
        <v>3917</v>
      </c>
      <c r="H19" s="278">
        <v>28.7</v>
      </c>
      <c r="I19" s="279" t="s">
        <v>3918</v>
      </c>
      <c r="J19" s="280">
        <v>2.46E-2</v>
      </c>
      <c r="K19" s="281" t="s">
        <v>3905</v>
      </c>
      <c r="M19" s="245" t="s">
        <v>4042</v>
      </c>
      <c r="N19" s="245" t="s">
        <v>4046</v>
      </c>
      <c r="P19" s="243" t="str">
        <f t="shared" si="0"/>
        <v>輸入原料炭</v>
      </c>
      <c r="Q19" s="243" t="str">
        <f t="shared" si="1"/>
        <v>輸入原料炭</v>
      </c>
      <c r="R19" s="267">
        <f t="shared" si="2"/>
        <v>2.58874</v>
      </c>
      <c r="S19" s="243" t="str">
        <f t="shared" si="3"/>
        <v>t-CO2/t</v>
      </c>
    </row>
    <row r="20" spans="1:20">
      <c r="A20" s="688"/>
      <c r="B20" s="268" t="s">
        <v>3931</v>
      </c>
      <c r="C20" s="269" t="s">
        <v>3902</v>
      </c>
      <c r="D20" s="693"/>
      <c r="E20" s="669"/>
      <c r="F20" s="282" t="s">
        <v>3931</v>
      </c>
      <c r="G20" s="277" t="s">
        <v>3917</v>
      </c>
      <c r="H20" s="278">
        <v>28.9</v>
      </c>
      <c r="I20" s="279" t="s">
        <v>3918</v>
      </c>
      <c r="J20" s="280">
        <v>2.4500000000000001E-2</v>
      </c>
      <c r="K20" s="281" t="s">
        <v>3905</v>
      </c>
      <c r="M20" s="245" t="s">
        <v>4042</v>
      </c>
      <c r="N20" s="245" t="s">
        <v>4046</v>
      </c>
      <c r="P20" s="243" t="str">
        <f t="shared" si="0"/>
        <v>コークス用原料炭</v>
      </c>
      <c r="Q20" s="243" t="str">
        <f t="shared" si="1"/>
        <v>コークス用原料炭</v>
      </c>
      <c r="R20" s="267">
        <f t="shared" si="2"/>
        <v>2.5961833333333333</v>
      </c>
      <c r="S20" s="243" t="str">
        <f t="shared" si="3"/>
        <v>t-CO2/t</v>
      </c>
    </row>
    <row r="21" spans="1:20">
      <c r="A21" s="688"/>
      <c r="B21" s="268" t="s">
        <v>3933</v>
      </c>
      <c r="C21" s="269" t="s">
        <v>3902</v>
      </c>
      <c r="D21" s="693"/>
      <c r="E21" s="670"/>
      <c r="F21" s="282" t="s">
        <v>3933</v>
      </c>
      <c r="G21" s="277" t="s">
        <v>3917</v>
      </c>
      <c r="H21" s="278">
        <v>28.3</v>
      </c>
      <c r="I21" s="279" t="s">
        <v>3918</v>
      </c>
      <c r="J21" s="280">
        <v>2.5100000000000001E-2</v>
      </c>
      <c r="K21" s="281" t="s">
        <v>3905</v>
      </c>
      <c r="M21" s="245" t="s">
        <v>4042</v>
      </c>
      <c r="N21" s="245" t="s">
        <v>4046</v>
      </c>
      <c r="P21" s="243" t="str">
        <f t="shared" si="0"/>
        <v>吹込用原料炭</v>
      </c>
      <c r="Q21" s="243" t="str">
        <f t="shared" si="1"/>
        <v>吹込用原料炭</v>
      </c>
      <c r="R21" s="267">
        <f t="shared" si="2"/>
        <v>2.6045433333333334</v>
      </c>
      <c r="S21" s="243" t="str">
        <f t="shared" si="3"/>
        <v>t-CO2/t</v>
      </c>
    </row>
    <row r="22" spans="1:20">
      <c r="A22" s="688"/>
      <c r="B22" s="268" t="s">
        <v>3935</v>
      </c>
      <c r="C22" s="269" t="s">
        <v>3902</v>
      </c>
      <c r="D22" s="693"/>
      <c r="E22" s="668" t="s">
        <v>3934</v>
      </c>
      <c r="F22" s="282" t="s">
        <v>3935</v>
      </c>
      <c r="G22" s="277" t="s">
        <v>3917</v>
      </c>
      <c r="H22" s="278">
        <v>26.1</v>
      </c>
      <c r="I22" s="279" t="s">
        <v>3918</v>
      </c>
      <c r="J22" s="280">
        <v>2.4299999999999999E-2</v>
      </c>
      <c r="K22" s="281" t="s">
        <v>3905</v>
      </c>
      <c r="M22" s="245" t="s">
        <v>4042</v>
      </c>
      <c r="N22" s="245" t="s">
        <v>4046</v>
      </c>
      <c r="P22" s="243" t="str">
        <f t="shared" si="0"/>
        <v>輸入一般炭</v>
      </c>
      <c r="Q22" s="243" t="str">
        <f t="shared" si="1"/>
        <v>輸入一般炭</v>
      </c>
      <c r="R22" s="267">
        <f t="shared" si="2"/>
        <v>2.32551</v>
      </c>
      <c r="S22" s="243" t="str">
        <f t="shared" si="3"/>
        <v>t-CO2/t</v>
      </c>
    </row>
    <row r="23" spans="1:20">
      <c r="A23" s="688"/>
      <c r="B23" s="268" t="s">
        <v>3936</v>
      </c>
      <c r="C23" s="269" t="s">
        <v>3902</v>
      </c>
      <c r="D23" s="693"/>
      <c r="E23" s="670"/>
      <c r="F23" s="282" t="s">
        <v>3936</v>
      </c>
      <c r="G23" s="277" t="s">
        <v>3917</v>
      </c>
      <c r="H23" s="278">
        <v>24.2</v>
      </c>
      <c r="I23" s="279" t="s">
        <v>3918</v>
      </c>
      <c r="J23" s="280">
        <v>2.4199999999999999E-2</v>
      </c>
      <c r="K23" s="281" t="s">
        <v>3905</v>
      </c>
      <c r="M23" s="245" t="s">
        <v>4042</v>
      </c>
      <c r="N23" s="245" t="s">
        <v>4046</v>
      </c>
      <c r="P23" s="243" t="str">
        <f t="shared" si="0"/>
        <v>国産一般炭</v>
      </c>
      <c r="Q23" s="243" t="str">
        <f t="shared" si="1"/>
        <v>国産一般炭</v>
      </c>
      <c r="R23" s="267">
        <f t="shared" si="2"/>
        <v>2.1473466666666665</v>
      </c>
      <c r="S23" s="243" t="str">
        <f t="shared" si="3"/>
        <v>t-CO2/t</v>
      </c>
    </row>
    <row r="24" spans="1:20">
      <c r="A24" s="688"/>
      <c r="B24" s="268" t="s">
        <v>3937</v>
      </c>
      <c r="C24" s="269" t="s">
        <v>3902</v>
      </c>
      <c r="D24" s="694"/>
      <c r="E24" s="284" t="s">
        <v>3937</v>
      </c>
      <c r="F24" s="285"/>
      <c r="G24" s="277" t="s">
        <v>3917</v>
      </c>
      <c r="H24" s="278">
        <v>27.8</v>
      </c>
      <c r="I24" s="279" t="s">
        <v>3918</v>
      </c>
      <c r="J24" s="280">
        <v>2.5899999999999999E-2</v>
      </c>
      <c r="K24" s="281" t="s">
        <v>3905</v>
      </c>
      <c r="M24" s="245" t="s">
        <v>4042</v>
      </c>
      <c r="N24" s="245" t="s">
        <v>4046</v>
      </c>
      <c r="P24" s="243" t="str">
        <f t="shared" si="0"/>
        <v>輸入無煙炭</v>
      </c>
      <c r="Q24" s="243" t="str">
        <f t="shared" si="1"/>
        <v>輸入無煙炭</v>
      </c>
      <c r="R24" s="267">
        <f t="shared" si="2"/>
        <v>2.640073333333333</v>
      </c>
      <c r="S24" s="243" t="str">
        <f t="shared" si="3"/>
        <v>t-CO2/t</v>
      </c>
    </row>
    <row r="25" spans="1:20">
      <c r="A25" s="688"/>
      <c r="B25" s="268" t="s">
        <v>3938</v>
      </c>
      <c r="C25" s="269" t="s">
        <v>3902</v>
      </c>
      <c r="D25" s="276" t="s">
        <v>3938</v>
      </c>
      <c r="E25" s="270"/>
      <c r="F25" s="270"/>
      <c r="G25" s="277" t="s">
        <v>3917</v>
      </c>
      <c r="H25" s="278">
        <v>29</v>
      </c>
      <c r="I25" s="279" t="s">
        <v>3918</v>
      </c>
      <c r="J25" s="280">
        <v>2.9899999999999999E-2</v>
      </c>
      <c r="K25" s="281" t="s">
        <v>3905</v>
      </c>
      <c r="M25" s="245" t="s">
        <v>4042</v>
      </c>
      <c r="N25" s="245" t="s">
        <v>4046</v>
      </c>
      <c r="P25" s="243" t="str">
        <f t="shared" si="0"/>
        <v>石炭コークス</v>
      </c>
      <c r="Q25" s="243" t="str">
        <f t="shared" si="1"/>
        <v>石炭コークス</v>
      </c>
      <c r="R25" s="267">
        <f t="shared" si="2"/>
        <v>3.1793666666666667</v>
      </c>
      <c r="S25" s="243" t="str">
        <f t="shared" si="3"/>
        <v>t-CO2/t</v>
      </c>
    </row>
    <row r="26" spans="1:20">
      <c r="A26" s="688"/>
      <c r="B26" s="268" t="s">
        <v>3939</v>
      </c>
      <c r="C26" s="269" t="s">
        <v>3902</v>
      </c>
      <c r="D26" s="276" t="s">
        <v>3939</v>
      </c>
      <c r="E26" s="276"/>
      <c r="F26" s="276"/>
      <c r="G26" s="277" t="s">
        <v>3917</v>
      </c>
      <c r="H26" s="278">
        <v>37.299999999999997</v>
      </c>
      <c r="I26" s="279" t="s">
        <v>3918</v>
      </c>
      <c r="J26" s="280">
        <v>2.0899999999999998E-2</v>
      </c>
      <c r="K26" s="281" t="s">
        <v>3905</v>
      </c>
      <c r="M26" s="245" t="s">
        <v>4042</v>
      </c>
      <c r="N26" s="245" t="s">
        <v>4046</v>
      </c>
      <c r="P26" s="243" t="str">
        <f t="shared" si="0"/>
        <v>コールタール</v>
      </c>
      <c r="Q26" s="243" t="str">
        <f t="shared" si="1"/>
        <v>コールタール</v>
      </c>
      <c r="R26" s="267">
        <f t="shared" si="2"/>
        <v>2.8584233333333326</v>
      </c>
      <c r="S26" s="243" t="str">
        <f t="shared" si="3"/>
        <v>t-CO2/t</v>
      </c>
    </row>
    <row r="27" spans="1:20" ht="20.25">
      <c r="A27" s="688"/>
      <c r="B27" s="268" t="s">
        <v>3940</v>
      </c>
      <c r="C27" s="269" t="s">
        <v>3902</v>
      </c>
      <c r="D27" s="276" t="s">
        <v>3940</v>
      </c>
      <c r="E27" s="276"/>
      <c r="F27" s="276"/>
      <c r="G27" s="283" t="s">
        <v>4153</v>
      </c>
      <c r="H27" s="278">
        <v>18.399999999999999</v>
      </c>
      <c r="I27" s="279" t="s">
        <v>3924</v>
      </c>
      <c r="J27" s="280">
        <v>1.09E-2</v>
      </c>
      <c r="K27" s="281" t="s">
        <v>3905</v>
      </c>
      <c r="M27" s="245" t="s">
        <v>25</v>
      </c>
      <c r="N27" s="245" t="s">
        <v>4046</v>
      </c>
      <c r="P27" s="243" t="str">
        <f t="shared" si="0"/>
        <v>コークス炉ガス</v>
      </c>
      <c r="Q27" s="243" t="str">
        <f t="shared" si="1"/>
        <v>コークス炉ガス</v>
      </c>
      <c r="R27" s="267">
        <f t="shared" si="2"/>
        <v>0.73538666666666652</v>
      </c>
      <c r="S27" s="243" t="str">
        <f t="shared" si="3"/>
        <v>t-CO2/千m3</v>
      </c>
    </row>
    <row r="28" spans="1:20" ht="20.25">
      <c r="A28" s="688"/>
      <c r="B28" s="268" t="s">
        <v>3941</v>
      </c>
      <c r="C28" s="269" t="s">
        <v>3902</v>
      </c>
      <c r="D28" s="276" t="s">
        <v>3941</v>
      </c>
      <c r="E28" s="276"/>
      <c r="F28" s="276"/>
      <c r="G28" s="283" t="s">
        <v>4153</v>
      </c>
      <c r="H28" s="286">
        <v>3.23</v>
      </c>
      <c r="I28" s="279" t="s">
        <v>3924</v>
      </c>
      <c r="J28" s="280">
        <v>2.64E-2</v>
      </c>
      <c r="K28" s="281" t="s">
        <v>3905</v>
      </c>
      <c r="M28" s="245" t="s">
        <v>25</v>
      </c>
      <c r="N28" s="245" t="s">
        <v>4046</v>
      </c>
      <c r="P28" s="243" t="str">
        <f t="shared" si="0"/>
        <v>高炉ガス</v>
      </c>
      <c r="Q28" s="243" t="str">
        <f t="shared" si="1"/>
        <v>高炉ガス</v>
      </c>
      <c r="R28" s="267">
        <f t="shared" si="2"/>
        <v>0.312664</v>
      </c>
      <c r="S28" s="243" t="str">
        <f t="shared" si="3"/>
        <v>t-CO2/千m3</v>
      </c>
    </row>
    <row r="29" spans="1:20" ht="20.25">
      <c r="A29" s="688"/>
      <c r="B29" s="268" t="s">
        <v>3942</v>
      </c>
      <c r="C29" s="269" t="s">
        <v>3902</v>
      </c>
      <c r="D29" s="285" t="s">
        <v>3942</v>
      </c>
      <c r="E29" s="287"/>
      <c r="F29" s="287"/>
      <c r="G29" s="283" t="s">
        <v>4153</v>
      </c>
      <c r="H29" s="286">
        <v>3.45</v>
      </c>
      <c r="I29" s="279" t="s">
        <v>3924</v>
      </c>
      <c r="J29" s="280">
        <v>2.64E-2</v>
      </c>
      <c r="K29" s="281" t="s">
        <v>3905</v>
      </c>
      <c r="M29" s="245" t="s">
        <v>25</v>
      </c>
      <c r="N29" s="245" t="s">
        <v>4046</v>
      </c>
      <c r="P29" s="243" t="str">
        <f t="shared" si="0"/>
        <v>発電用高炉ガス</v>
      </c>
      <c r="Q29" s="243" t="str">
        <f t="shared" si="1"/>
        <v>発電用高炉ガス</v>
      </c>
      <c r="R29" s="267">
        <f t="shared" si="2"/>
        <v>0.33396000000000003</v>
      </c>
      <c r="S29" s="243" t="str">
        <f t="shared" si="3"/>
        <v>t-CO2/千m3</v>
      </c>
    </row>
    <row r="30" spans="1:20" ht="20.25">
      <c r="A30" s="688"/>
      <c r="B30" s="268" t="s">
        <v>3943</v>
      </c>
      <c r="C30" s="269" t="s">
        <v>3902</v>
      </c>
      <c r="D30" s="276" t="s">
        <v>3943</v>
      </c>
      <c r="E30" s="276"/>
      <c r="F30" s="276"/>
      <c r="G30" s="283" t="s">
        <v>4153</v>
      </c>
      <c r="H30" s="286">
        <v>7.53</v>
      </c>
      <c r="I30" s="279" t="s">
        <v>3924</v>
      </c>
      <c r="J30" s="280">
        <v>4.2000000000000003E-2</v>
      </c>
      <c r="K30" s="281" t="s">
        <v>3905</v>
      </c>
      <c r="M30" s="245" t="s">
        <v>25</v>
      </c>
      <c r="N30" s="245" t="s">
        <v>4046</v>
      </c>
      <c r="P30" s="243" t="str">
        <f t="shared" si="0"/>
        <v>転炉ガス</v>
      </c>
      <c r="Q30" s="243" t="str">
        <f t="shared" si="1"/>
        <v>転炉ガス</v>
      </c>
      <c r="R30" s="267">
        <f t="shared" si="2"/>
        <v>1.1596200000000001</v>
      </c>
      <c r="S30" s="243" t="str">
        <f t="shared" si="3"/>
        <v>t-CO2/千m3</v>
      </c>
    </row>
    <row r="31" spans="1:20" ht="20.25">
      <c r="A31" s="688"/>
      <c r="B31" s="268" t="s">
        <v>3944</v>
      </c>
      <c r="C31" s="269" t="s">
        <v>3902</v>
      </c>
      <c r="D31" s="276" t="s">
        <v>3945</v>
      </c>
      <c r="E31" s="276"/>
      <c r="F31" s="276"/>
      <c r="G31" s="288" t="s">
        <v>3946</v>
      </c>
      <c r="H31" s="289">
        <v>45</v>
      </c>
      <c r="I31" s="290" t="s">
        <v>4154</v>
      </c>
      <c r="J31" s="280">
        <v>1.4E-2</v>
      </c>
      <c r="K31" s="281" t="s">
        <v>3947</v>
      </c>
      <c r="M31" s="245" t="s">
        <v>25</v>
      </c>
      <c r="N31" s="245" t="s">
        <v>4044</v>
      </c>
      <c r="O31" s="243" t="s">
        <v>4</v>
      </c>
      <c r="P31" s="243" t="str">
        <f t="shared" si="0"/>
        <v/>
      </c>
      <c r="Q31" s="243" t="str">
        <f t="shared" si="1"/>
        <v>都市ガス</v>
      </c>
      <c r="R31" s="291">
        <f>IFERROR(H31*0.904*J31*44/12,"")</f>
        <v>2.0882400000000003</v>
      </c>
      <c r="S31" s="243" t="str">
        <f t="shared" si="3"/>
        <v>t-CO2/千m3</v>
      </c>
      <c r="T31" s="292" t="s">
        <v>4155</v>
      </c>
    </row>
    <row r="32" spans="1:20">
      <c r="A32" s="689"/>
      <c r="B32" s="293" t="s">
        <v>3948</v>
      </c>
      <c r="C32" s="294" t="s">
        <v>3902</v>
      </c>
      <c r="D32" s="295" t="s">
        <v>3949</v>
      </c>
      <c r="E32" s="295"/>
      <c r="F32" s="295"/>
      <c r="G32" s="296" t="s">
        <v>3950</v>
      </c>
      <c r="H32" s="297">
        <v>1.19</v>
      </c>
      <c r="I32" s="298" t="s">
        <v>3951</v>
      </c>
      <c r="J32" s="299" t="s">
        <v>3932</v>
      </c>
      <c r="K32" s="300"/>
      <c r="M32" s="245" t="s">
        <v>4043</v>
      </c>
      <c r="N32" s="245" t="s">
        <v>4052</v>
      </c>
      <c r="P32" s="243" t="str">
        <f t="shared" si="0"/>
        <v/>
      </c>
      <c r="Q32" s="243" t="str">
        <f t="shared" si="1"/>
        <v/>
      </c>
      <c r="R32" s="267" t="str">
        <f t="shared" si="2"/>
        <v/>
      </c>
      <c r="S32" s="243" t="str">
        <f t="shared" si="3"/>
        <v>t-CO2/GJ</v>
      </c>
    </row>
    <row r="33" spans="1:19" ht="17.45" customHeight="1">
      <c r="A33" s="682" t="s">
        <v>3953</v>
      </c>
      <c r="B33" s="259" t="s">
        <v>3954</v>
      </c>
      <c r="C33" s="260" t="s">
        <v>3955</v>
      </c>
      <c r="D33" s="301" t="s">
        <v>3954</v>
      </c>
      <c r="E33" s="301"/>
      <c r="F33" s="301"/>
      <c r="G33" s="302" t="s">
        <v>3956</v>
      </c>
      <c r="H33" s="303">
        <v>13.6</v>
      </c>
      <c r="I33" s="264" t="s">
        <v>3957</v>
      </c>
      <c r="J33" s="304" t="s">
        <v>3932</v>
      </c>
      <c r="K33" s="305"/>
      <c r="M33" s="245" t="s">
        <v>4042</v>
      </c>
      <c r="N33" s="245" t="s">
        <v>4046</v>
      </c>
      <c r="P33" s="243" t="str">
        <f t="shared" si="0"/>
        <v>黒液</v>
      </c>
      <c r="Q33" s="243" t="str">
        <f t="shared" si="1"/>
        <v>黒液</v>
      </c>
      <c r="R33" s="267" t="str">
        <f t="shared" si="2"/>
        <v/>
      </c>
      <c r="S33" s="243" t="str">
        <f t="shared" si="3"/>
        <v>t-CO2/t</v>
      </c>
    </row>
    <row r="34" spans="1:19">
      <c r="A34" s="683"/>
      <c r="B34" s="268" t="s">
        <v>3958</v>
      </c>
      <c r="C34" s="269" t="s">
        <v>3955</v>
      </c>
      <c r="D34" s="306" t="s">
        <v>3958</v>
      </c>
      <c r="E34" s="306"/>
      <c r="F34" s="306"/>
      <c r="G34" s="307" t="s">
        <v>3956</v>
      </c>
      <c r="H34" s="308">
        <v>13.2</v>
      </c>
      <c r="I34" s="279" t="s">
        <v>3957</v>
      </c>
      <c r="J34" s="299" t="s">
        <v>3932</v>
      </c>
      <c r="K34" s="300"/>
      <c r="M34" s="245" t="s">
        <v>4042</v>
      </c>
      <c r="N34" s="245" t="s">
        <v>4046</v>
      </c>
      <c r="P34" s="243" t="str">
        <f t="shared" si="0"/>
        <v>木材</v>
      </c>
      <c r="Q34" s="243" t="str">
        <f t="shared" si="1"/>
        <v>木材</v>
      </c>
      <c r="R34" s="267" t="str">
        <f t="shared" si="2"/>
        <v/>
      </c>
      <c r="S34" s="243" t="str">
        <f t="shared" si="3"/>
        <v>t-CO2/t</v>
      </c>
    </row>
    <row r="35" spans="1:19">
      <c r="A35" s="683"/>
      <c r="B35" s="268" t="s">
        <v>3959</v>
      </c>
      <c r="C35" s="269" t="s">
        <v>3955</v>
      </c>
      <c r="D35" s="306" t="s">
        <v>3959</v>
      </c>
      <c r="E35" s="306"/>
      <c r="F35" s="306"/>
      <c r="G35" s="307" t="s">
        <v>3956</v>
      </c>
      <c r="H35" s="308">
        <v>17.100000000000001</v>
      </c>
      <c r="I35" s="279" t="s">
        <v>3957</v>
      </c>
      <c r="J35" s="299" t="s">
        <v>3932</v>
      </c>
      <c r="K35" s="300"/>
      <c r="M35" s="245" t="s">
        <v>4042</v>
      </c>
      <c r="N35" s="245" t="s">
        <v>4046</v>
      </c>
      <c r="P35" s="243" t="str">
        <f t="shared" si="0"/>
        <v>木質廃材</v>
      </c>
      <c r="Q35" s="243" t="str">
        <f t="shared" si="1"/>
        <v>木質廃材</v>
      </c>
      <c r="R35" s="267" t="str">
        <f t="shared" si="2"/>
        <v/>
      </c>
      <c r="S35" s="243" t="str">
        <f t="shared" si="3"/>
        <v>t-CO2/t</v>
      </c>
    </row>
    <row r="36" spans="1:19">
      <c r="A36" s="683"/>
      <c r="B36" s="268" t="s">
        <v>3960</v>
      </c>
      <c r="C36" s="269" t="s">
        <v>3955</v>
      </c>
      <c r="D36" s="306" t="s">
        <v>3960</v>
      </c>
      <c r="E36" s="306"/>
      <c r="F36" s="306"/>
      <c r="G36" s="307" t="s">
        <v>3961</v>
      </c>
      <c r="H36" s="308">
        <v>23.4</v>
      </c>
      <c r="I36" s="279" t="s">
        <v>3962</v>
      </c>
      <c r="J36" s="299" t="s">
        <v>3932</v>
      </c>
      <c r="K36" s="300"/>
      <c r="M36" s="245" t="s">
        <v>26</v>
      </c>
      <c r="N36" s="245" t="s">
        <v>4046</v>
      </c>
      <c r="P36" s="243" t="str">
        <f t="shared" si="0"/>
        <v>バイオエタノール</v>
      </c>
      <c r="Q36" s="243" t="str">
        <f t="shared" si="1"/>
        <v>バイオエタノール</v>
      </c>
      <c r="R36" s="267" t="str">
        <f t="shared" si="2"/>
        <v/>
      </c>
      <c r="S36" s="243" t="str">
        <f t="shared" si="3"/>
        <v>t-CO2/kl</v>
      </c>
    </row>
    <row r="37" spans="1:19">
      <c r="A37" s="683"/>
      <c r="B37" s="359" t="s">
        <v>3963</v>
      </c>
      <c r="C37" s="269" t="s">
        <v>3955</v>
      </c>
      <c r="D37" s="306" t="s">
        <v>3963</v>
      </c>
      <c r="E37" s="306"/>
      <c r="F37" s="306"/>
      <c r="G37" s="307" t="s">
        <v>3961</v>
      </c>
      <c r="H37" s="308">
        <v>35.6</v>
      </c>
      <c r="I37" s="279" t="s">
        <v>3962</v>
      </c>
      <c r="J37" s="299" t="s">
        <v>3932</v>
      </c>
      <c r="K37" s="300"/>
      <c r="M37" s="245" t="s">
        <v>26</v>
      </c>
      <c r="N37" s="245" t="s">
        <v>4046</v>
      </c>
      <c r="P37" s="243" t="str">
        <f t="shared" si="0"/>
        <v>バイオディーゼル</v>
      </c>
      <c r="Q37" s="243" t="str">
        <f t="shared" si="1"/>
        <v>バイオディーゼル</v>
      </c>
      <c r="R37" s="267" t="str">
        <f t="shared" si="2"/>
        <v/>
      </c>
      <c r="S37" s="243" t="str">
        <f t="shared" si="3"/>
        <v>t-CO2/kl</v>
      </c>
    </row>
    <row r="38" spans="1:19" ht="20.25">
      <c r="A38" s="683"/>
      <c r="B38" s="268" t="s">
        <v>3964</v>
      </c>
      <c r="C38" s="269" t="s">
        <v>3955</v>
      </c>
      <c r="D38" s="306" t="s">
        <v>3964</v>
      </c>
      <c r="E38" s="306"/>
      <c r="F38" s="306"/>
      <c r="G38" s="307" t="s">
        <v>3965</v>
      </c>
      <c r="H38" s="308">
        <v>21.2</v>
      </c>
      <c r="I38" s="279" t="s">
        <v>3966</v>
      </c>
      <c r="J38" s="299" t="s">
        <v>3932</v>
      </c>
      <c r="K38" s="300"/>
      <c r="M38" s="245" t="s">
        <v>25</v>
      </c>
      <c r="N38" s="245" t="s">
        <v>4046</v>
      </c>
      <c r="P38" s="243" t="str">
        <f t="shared" si="0"/>
        <v>バイオガス</v>
      </c>
      <c r="Q38" s="243" t="str">
        <f t="shared" si="1"/>
        <v>バイオガス</v>
      </c>
      <c r="R38" s="267" t="str">
        <f t="shared" si="2"/>
        <v/>
      </c>
      <c r="S38" s="243" t="str">
        <f t="shared" si="3"/>
        <v>t-CO2/千㎥</v>
      </c>
    </row>
    <row r="39" spans="1:19">
      <c r="A39" s="683"/>
      <c r="B39" s="268" t="s">
        <v>3967</v>
      </c>
      <c r="C39" s="269" t="s">
        <v>3955</v>
      </c>
      <c r="D39" s="306" t="s">
        <v>3967</v>
      </c>
      <c r="E39" s="306"/>
      <c r="F39" s="306"/>
      <c r="G39" s="307" t="s">
        <v>3956</v>
      </c>
      <c r="H39" s="308">
        <v>13.2</v>
      </c>
      <c r="I39" s="279" t="s">
        <v>3957</v>
      </c>
      <c r="J39" s="299" t="s">
        <v>3932</v>
      </c>
      <c r="K39" s="300"/>
      <c r="M39" s="245" t="s">
        <v>4042</v>
      </c>
      <c r="N39" s="245" t="s">
        <v>4046</v>
      </c>
      <c r="P39" s="243" t="str">
        <f t="shared" si="0"/>
        <v>その他バイオマス</v>
      </c>
      <c r="Q39" s="243" t="str">
        <f t="shared" si="1"/>
        <v>その他バイオマス</v>
      </c>
      <c r="R39" s="267" t="str">
        <f t="shared" si="2"/>
        <v/>
      </c>
      <c r="S39" s="243" t="str">
        <f t="shared" si="3"/>
        <v>t-CO2/t</v>
      </c>
    </row>
    <row r="40" spans="1:19">
      <c r="A40" s="683"/>
      <c r="B40" s="268" t="s">
        <v>3968</v>
      </c>
      <c r="C40" s="269" t="s">
        <v>3955</v>
      </c>
      <c r="D40" s="306" t="s">
        <v>3968</v>
      </c>
      <c r="E40" s="306"/>
      <c r="F40" s="306"/>
      <c r="G40" s="307" t="s">
        <v>3956</v>
      </c>
      <c r="H40" s="308">
        <v>18</v>
      </c>
      <c r="I40" s="279" t="s">
        <v>3957</v>
      </c>
      <c r="J40" s="280">
        <v>1.6199999999999999E-2</v>
      </c>
      <c r="K40" s="279" t="s">
        <v>3905</v>
      </c>
      <c r="M40" s="245" t="s">
        <v>4042</v>
      </c>
      <c r="N40" s="245" t="s">
        <v>4046</v>
      </c>
      <c r="P40" s="243" t="str">
        <f t="shared" si="0"/>
        <v>RDF</v>
      </c>
      <c r="Q40" s="243" t="str">
        <f t="shared" si="1"/>
        <v>RDF</v>
      </c>
      <c r="R40" s="267">
        <f t="shared" si="2"/>
        <v>1.0691999999999999</v>
      </c>
      <c r="S40" s="243" t="str">
        <f t="shared" si="3"/>
        <v>t-CO2/t</v>
      </c>
    </row>
    <row r="41" spans="1:19">
      <c r="A41" s="683"/>
      <c r="B41" s="268" t="s">
        <v>3969</v>
      </c>
      <c r="C41" s="269" t="s">
        <v>3955</v>
      </c>
      <c r="D41" s="306" t="s">
        <v>3969</v>
      </c>
      <c r="E41" s="306"/>
      <c r="F41" s="306"/>
      <c r="G41" s="307" t="s">
        <v>3956</v>
      </c>
      <c r="H41" s="308">
        <v>26.9</v>
      </c>
      <c r="I41" s="279" t="s">
        <v>3957</v>
      </c>
      <c r="J41" s="280">
        <v>1.66E-2</v>
      </c>
      <c r="K41" s="279" t="s">
        <v>3905</v>
      </c>
      <c r="M41" s="245" t="s">
        <v>4042</v>
      </c>
      <c r="N41" s="245" t="s">
        <v>4046</v>
      </c>
      <c r="P41" s="243" t="str">
        <f t="shared" si="0"/>
        <v>RPF</v>
      </c>
      <c r="Q41" s="243" t="str">
        <f t="shared" si="1"/>
        <v>RPF</v>
      </c>
      <c r="R41" s="267">
        <f t="shared" si="2"/>
        <v>1.6373133333333332</v>
      </c>
      <c r="S41" s="243" t="str">
        <f t="shared" si="3"/>
        <v>t-CO2/t</v>
      </c>
    </row>
    <row r="42" spans="1:19">
      <c r="A42" s="683"/>
      <c r="B42" s="268" t="s">
        <v>3970</v>
      </c>
      <c r="C42" s="269" t="s">
        <v>3955</v>
      </c>
      <c r="D42" s="306" t="s">
        <v>3970</v>
      </c>
      <c r="E42" s="309"/>
      <c r="F42" s="309"/>
      <c r="G42" s="310" t="s">
        <v>3956</v>
      </c>
      <c r="H42" s="311">
        <v>33.200000000000003</v>
      </c>
      <c r="I42" s="279" t="s">
        <v>3957</v>
      </c>
      <c r="J42" s="280">
        <v>1.35E-2</v>
      </c>
      <c r="K42" s="279" t="s">
        <v>3905</v>
      </c>
      <c r="L42" s="312"/>
      <c r="M42" s="245" t="s">
        <v>4042</v>
      </c>
      <c r="N42" s="245" t="s">
        <v>4046</v>
      </c>
      <c r="P42" s="243" t="str">
        <f t="shared" si="0"/>
        <v>廃タイヤ</v>
      </c>
      <c r="Q42" s="243" t="str">
        <f t="shared" si="1"/>
        <v>廃タイヤ</v>
      </c>
      <c r="R42" s="267">
        <f t="shared" si="2"/>
        <v>1.6434</v>
      </c>
      <c r="S42" s="243" t="str">
        <f t="shared" si="3"/>
        <v>t-CO2/t</v>
      </c>
    </row>
    <row r="43" spans="1:19" ht="17.45" customHeight="1">
      <c r="A43" s="683"/>
      <c r="B43" s="268" t="s">
        <v>3971</v>
      </c>
      <c r="C43" s="269" t="s">
        <v>3955</v>
      </c>
      <c r="D43" s="685" t="s">
        <v>3972</v>
      </c>
      <c r="E43" s="313" t="s">
        <v>3973</v>
      </c>
      <c r="F43" s="309"/>
      <c r="G43" s="310" t="s">
        <v>3956</v>
      </c>
      <c r="H43" s="311">
        <v>29.3</v>
      </c>
      <c r="I43" s="279" t="s">
        <v>3957</v>
      </c>
      <c r="J43" s="280">
        <v>2.5700000000000001E-2</v>
      </c>
      <c r="K43" s="279" t="s">
        <v>3905</v>
      </c>
      <c r="L43" s="312"/>
      <c r="M43" s="245" t="s">
        <v>4042</v>
      </c>
      <c r="N43" s="245" t="s">
        <v>4046</v>
      </c>
      <c r="P43" s="243" t="str">
        <f t="shared" si="0"/>
        <v>廃プラスチック_一般廃棄物</v>
      </c>
      <c r="Q43" s="243" t="str">
        <f t="shared" si="1"/>
        <v>廃プラスチック_一般廃棄物</v>
      </c>
      <c r="R43" s="267">
        <f t="shared" si="2"/>
        <v>2.761036666666667</v>
      </c>
      <c r="S43" s="243" t="str">
        <f t="shared" si="3"/>
        <v>t-CO2/t</v>
      </c>
    </row>
    <row r="44" spans="1:19">
      <c r="A44" s="683"/>
      <c r="B44" s="268" t="s">
        <v>3974</v>
      </c>
      <c r="C44" s="269" t="s">
        <v>3955</v>
      </c>
      <c r="D44" s="686"/>
      <c r="E44" s="313" t="s">
        <v>3975</v>
      </c>
      <c r="F44" s="309"/>
      <c r="G44" s="310" t="s">
        <v>3956</v>
      </c>
      <c r="H44" s="311">
        <v>29.3</v>
      </c>
      <c r="I44" s="279" t="s">
        <v>3957</v>
      </c>
      <c r="J44" s="280">
        <v>2.3900000000000001E-2</v>
      </c>
      <c r="K44" s="279" t="s">
        <v>3905</v>
      </c>
      <c r="L44" s="312"/>
      <c r="M44" s="245" t="s">
        <v>4042</v>
      </c>
      <c r="N44" s="245" t="s">
        <v>4046</v>
      </c>
      <c r="P44" s="243" t="str">
        <f t="shared" si="0"/>
        <v>廃プラスチック_産業廃棄物</v>
      </c>
      <c r="Q44" s="243" t="str">
        <f t="shared" si="1"/>
        <v>廃プラスチック_産業廃棄物</v>
      </c>
      <c r="R44" s="267">
        <f t="shared" si="2"/>
        <v>2.5676566666666667</v>
      </c>
      <c r="S44" s="243" t="str">
        <f t="shared" si="3"/>
        <v>t-CO2/t</v>
      </c>
    </row>
    <row r="45" spans="1:19">
      <c r="A45" s="683"/>
      <c r="B45" s="268" t="s">
        <v>3976</v>
      </c>
      <c r="C45" s="269" t="s">
        <v>3955</v>
      </c>
      <c r="D45" s="306" t="s">
        <v>3976</v>
      </c>
      <c r="E45" s="309"/>
      <c r="F45" s="309"/>
      <c r="G45" s="310" t="s">
        <v>3961</v>
      </c>
      <c r="H45" s="311">
        <v>40.200000000000003</v>
      </c>
      <c r="I45" s="279" t="s">
        <v>3962</v>
      </c>
      <c r="J45" s="280">
        <v>1.7899999999999999E-2</v>
      </c>
      <c r="K45" s="279" t="s">
        <v>3905</v>
      </c>
      <c r="L45" s="312"/>
      <c r="M45" s="245" t="s">
        <v>26</v>
      </c>
      <c r="N45" s="245" t="s">
        <v>4046</v>
      </c>
      <c r="P45" s="243" t="str">
        <f t="shared" si="0"/>
        <v>廃油</v>
      </c>
      <c r="Q45" s="243" t="str">
        <f t="shared" si="1"/>
        <v>廃油</v>
      </c>
      <c r="R45" s="267">
        <f t="shared" si="2"/>
        <v>2.6384599999999998</v>
      </c>
      <c r="S45" s="243" t="str">
        <f t="shared" si="3"/>
        <v>t-CO2/kl</v>
      </c>
    </row>
    <row r="46" spans="1:19" ht="20.25">
      <c r="A46" s="683"/>
      <c r="B46" s="268" t="s">
        <v>3977</v>
      </c>
      <c r="C46" s="269" t="s">
        <v>3955</v>
      </c>
      <c r="D46" s="306" t="s">
        <v>3977</v>
      </c>
      <c r="E46" s="306"/>
      <c r="F46" s="306"/>
      <c r="G46" s="307" t="s">
        <v>3965</v>
      </c>
      <c r="H46" s="308">
        <v>21.2</v>
      </c>
      <c r="I46" s="279" t="s">
        <v>3966</v>
      </c>
      <c r="J46" s="299" t="s">
        <v>3932</v>
      </c>
      <c r="K46" s="300"/>
      <c r="M46" s="245" t="s">
        <v>25</v>
      </c>
      <c r="N46" s="245" t="s">
        <v>4046</v>
      </c>
      <c r="P46" s="243" t="str">
        <f t="shared" si="0"/>
        <v>廃棄物ガス</v>
      </c>
      <c r="Q46" s="243" t="str">
        <f t="shared" si="1"/>
        <v>廃棄物ガス</v>
      </c>
      <c r="R46" s="267" t="str">
        <f t="shared" si="2"/>
        <v/>
      </c>
      <c r="S46" s="243" t="str">
        <f t="shared" si="3"/>
        <v>t-CO2/千㎥</v>
      </c>
    </row>
    <row r="47" spans="1:19">
      <c r="A47" s="683"/>
      <c r="B47" s="268" t="s">
        <v>3978</v>
      </c>
      <c r="C47" s="269" t="s">
        <v>3955</v>
      </c>
      <c r="D47" s="306" t="s">
        <v>3978</v>
      </c>
      <c r="E47" s="306"/>
      <c r="F47" s="306"/>
      <c r="G47" s="307" t="s">
        <v>3956</v>
      </c>
      <c r="H47" s="308">
        <v>17.100000000000001</v>
      </c>
      <c r="I47" s="279" t="s">
        <v>3957</v>
      </c>
      <c r="J47" s="299" t="s">
        <v>3932</v>
      </c>
      <c r="K47" s="300"/>
      <c r="M47" s="245" t="s">
        <v>4042</v>
      </c>
      <c r="N47" s="245" t="s">
        <v>4046</v>
      </c>
      <c r="P47" s="243" t="str">
        <f t="shared" si="0"/>
        <v>混合廃材</v>
      </c>
      <c r="Q47" s="243" t="str">
        <f t="shared" si="1"/>
        <v>混合廃材</v>
      </c>
      <c r="R47" s="267" t="str">
        <f t="shared" si="2"/>
        <v/>
      </c>
      <c r="S47" s="243" t="str">
        <f t="shared" si="3"/>
        <v>t-CO2/t</v>
      </c>
    </row>
    <row r="48" spans="1:19">
      <c r="A48" s="683"/>
      <c r="B48" s="268" t="s">
        <v>3979</v>
      </c>
      <c r="C48" s="269" t="s">
        <v>3955</v>
      </c>
      <c r="D48" s="306" t="s">
        <v>3979</v>
      </c>
      <c r="E48" s="306"/>
      <c r="F48" s="306"/>
      <c r="G48" s="307" t="s">
        <v>3956</v>
      </c>
      <c r="H48" s="308">
        <v>142</v>
      </c>
      <c r="I48" s="279" t="s">
        <v>3957</v>
      </c>
      <c r="J48" s="299" t="s">
        <v>3932</v>
      </c>
      <c r="K48" s="300"/>
      <c r="M48" s="245" t="s">
        <v>4042</v>
      </c>
      <c r="N48" s="245" t="s">
        <v>4046</v>
      </c>
      <c r="P48" s="243" t="str">
        <f t="shared" si="0"/>
        <v>水素</v>
      </c>
      <c r="Q48" s="243" t="str">
        <f t="shared" si="1"/>
        <v>水素</v>
      </c>
      <c r="R48" s="267" t="str">
        <f t="shared" si="2"/>
        <v/>
      </c>
      <c r="S48" s="243" t="str">
        <f t="shared" si="3"/>
        <v>t-CO2/t</v>
      </c>
    </row>
    <row r="49" spans="1:19">
      <c r="A49" s="684"/>
      <c r="B49" s="293" t="s">
        <v>3980</v>
      </c>
      <c r="C49" s="294" t="s">
        <v>3955</v>
      </c>
      <c r="D49" s="314" t="s">
        <v>3980</v>
      </c>
      <c r="E49" s="314"/>
      <c r="F49" s="314"/>
      <c r="G49" s="315" t="s">
        <v>3956</v>
      </c>
      <c r="H49" s="316">
        <v>22.5</v>
      </c>
      <c r="I49" s="298" t="s">
        <v>3957</v>
      </c>
      <c r="J49" s="299" t="s">
        <v>3932</v>
      </c>
      <c r="K49" s="300"/>
      <c r="M49" s="245" t="s">
        <v>4042</v>
      </c>
      <c r="N49" s="245" t="s">
        <v>4046</v>
      </c>
      <c r="P49" s="243" t="str">
        <f t="shared" si="0"/>
        <v>アンモニア</v>
      </c>
      <c r="Q49" s="243" t="str">
        <f t="shared" si="1"/>
        <v>アンモニア</v>
      </c>
      <c r="R49" s="267" t="str">
        <f t="shared" si="2"/>
        <v/>
      </c>
      <c r="S49" s="243" t="str">
        <f t="shared" si="3"/>
        <v>t-CO2/t</v>
      </c>
    </row>
    <row r="50" spans="1:19">
      <c r="A50" s="671" t="s">
        <v>3981</v>
      </c>
      <c r="B50" s="317" t="s">
        <v>3983</v>
      </c>
      <c r="C50" s="318" t="s">
        <v>3981</v>
      </c>
      <c r="D50" s="261" t="s">
        <v>3982</v>
      </c>
      <c r="E50" s="261"/>
      <c r="F50" s="261"/>
      <c r="G50" s="319" t="s">
        <v>3950</v>
      </c>
      <c r="H50" s="320">
        <v>1.17</v>
      </c>
      <c r="I50" s="321" t="s">
        <v>3951</v>
      </c>
      <c r="J50" s="322">
        <v>6.54E-2</v>
      </c>
      <c r="K50" s="321" t="s">
        <v>3952</v>
      </c>
      <c r="M50" s="245" t="s">
        <v>4043</v>
      </c>
      <c r="N50" s="245" t="s">
        <v>4052</v>
      </c>
      <c r="P50" s="243" t="str">
        <f t="shared" si="0"/>
        <v/>
      </c>
      <c r="Q50" s="243" t="str">
        <f t="shared" si="1"/>
        <v/>
      </c>
      <c r="R50" s="267">
        <f t="shared" si="2"/>
        <v>0.28056599999999993</v>
      </c>
      <c r="S50" s="243" t="str">
        <f t="shared" si="3"/>
        <v>t-CO2/GJ</v>
      </c>
    </row>
    <row r="51" spans="1:19">
      <c r="A51" s="672"/>
      <c r="B51" s="323" t="s">
        <v>3985</v>
      </c>
      <c r="C51" s="324" t="s">
        <v>3981</v>
      </c>
      <c r="D51" s="276" t="s">
        <v>3984</v>
      </c>
      <c r="E51" s="276"/>
      <c r="F51" s="276"/>
      <c r="G51" s="325" t="s">
        <v>3950</v>
      </c>
      <c r="H51" s="326">
        <v>1.19</v>
      </c>
      <c r="I51" s="327" t="s">
        <v>3951</v>
      </c>
      <c r="J51" s="299" t="s">
        <v>3932</v>
      </c>
      <c r="K51" s="300"/>
      <c r="M51" s="245" t="s">
        <v>4043</v>
      </c>
      <c r="N51" s="245" t="s">
        <v>4052</v>
      </c>
      <c r="P51" s="243" t="str">
        <f t="shared" si="0"/>
        <v/>
      </c>
      <c r="Q51" s="243" t="str">
        <f t="shared" si="1"/>
        <v/>
      </c>
      <c r="R51" s="267" t="str">
        <f t="shared" si="2"/>
        <v/>
      </c>
      <c r="S51" s="243" t="str">
        <f t="shared" si="3"/>
        <v>t-CO2/GJ</v>
      </c>
    </row>
    <row r="52" spans="1:19">
      <c r="A52" s="672"/>
      <c r="B52" s="323" t="s">
        <v>3987</v>
      </c>
      <c r="C52" s="324" t="s">
        <v>3981</v>
      </c>
      <c r="D52" s="276" t="s">
        <v>3986</v>
      </c>
      <c r="E52" s="276"/>
      <c r="F52" s="276"/>
      <c r="G52" s="325" t="s">
        <v>3950</v>
      </c>
      <c r="H52" s="326">
        <v>1.19</v>
      </c>
      <c r="I52" s="327" t="s">
        <v>3951</v>
      </c>
      <c r="J52" s="299" t="s">
        <v>3932</v>
      </c>
      <c r="K52" s="300"/>
      <c r="M52" s="245" t="s">
        <v>4043</v>
      </c>
      <c r="N52" s="245" t="s">
        <v>4052</v>
      </c>
      <c r="P52" s="243" t="str">
        <f t="shared" si="0"/>
        <v/>
      </c>
      <c r="Q52" s="243" t="str">
        <f t="shared" si="1"/>
        <v/>
      </c>
      <c r="R52" s="267" t="str">
        <f t="shared" si="2"/>
        <v/>
      </c>
      <c r="S52" s="243" t="str">
        <f t="shared" si="3"/>
        <v>t-CO2/GJ</v>
      </c>
    </row>
    <row r="53" spans="1:19">
      <c r="A53" s="672"/>
      <c r="B53" s="323" t="s">
        <v>3989</v>
      </c>
      <c r="C53" s="324" t="s">
        <v>3981</v>
      </c>
      <c r="D53" s="276" t="s">
        <v>3988</v>
      </c>
      <c r="E53" s="276"/>
      <c r="F53" s="276"/>
      <c r="G53" s="325" t="s">
        <v>3950</v>
      </c>
      <c r="H53" s="326">
        <v>1.19</v>
      </c>
      <c r="I53" s="327" t="s">
        <v>3951</v>
      </c>
      <c r="J53" s="299" t="s">
        <v>3932</v>
      </c>
      <c r="K53" s="300"/>
      <c r="M53" s="245" t="s">
        <v>4043</v>
      </c>
      <c r="N53" s="245" t="s">
        <v>4052</v>
      </c>
      <c r="P53" s="243" t="str">
        <f t="shared" si="0"/>
        <v/>
      </c>
      <c r="Q53" s="243" t="str">
        <f t="shared" si="1"/>
        <v/>
      </c>
      <c r="R53" s="267" t="str">
        <f t="shared" si="2"/>
        <v/>
      </c>
      <c r="S53" s="243" t="str">
        <f t="shared" si="3"/>
        <v>t-CO2/GJ</v>
      </c>
    </row>
    <row r="54" spans="1:19">
      <c r="A54" s="672"/>
      <c r="B54" s="323" t="s">
        <v>3990</v>
      </c>
      <c r="C54" s="324" t="s">
        <v>3981</v>
      </c>
      <c r="D54" s="276" t="s">
        <v>3982</v>
      </c>
      <c r="E54" s="276"/>
      <c r="F54" s="276"/>
      <c r="G54" s="325" t="s">
        <v>3950</v>
      </c>
      <c r="H54" s="326">
        <v>1.17</v>
      </c>
      <c r="I54" s="327" t="s">
        <v>3951</v>
      </c>
      <c r="J54" s="299" t="s">
        <v>3932</v>
      </c>
      <c r="K54" s="300"/>
      <c r="M54" s="245" t="s">
        <v>4043</v>
      </c>
      <c r="N54" s="245" t="s">
        <v>4052</v>
      </c>
      <c r="P54" s="243" t="str">
        <f t="shared" si="0"/>
        <v/>
      </c>
      <c r="Q54" s="243" t="str">
        <f t="shared" si="1"/>
        <v/>
      </c>
      <c r="R54" s="267" t="str">
        <f t="shared" si="2"/>
        <v/>
      </c>
      <c r="S54" s="243" t="str">
        <f t="shared" si="3"/>
        <v>t-CO2/GJ</v>
      </c>
    </row>
    <row r="55" spans="1:19">
      <c r="A55" s="672"/>
      <c r="B55" s="323" t="s">
        <v>3991</v>
      </c>
      <c r="C55" s="324" t="s">
        <v>3981</v>
      </c>
      <c r="D55" s="276" t="s">
        <v>3984</v>
      </c>
      <c r="E55" s="276"/>
      <c r="F55" s="276"/>
      <c r="G55" s="325" t="s">
        <v>3950</v>
      </c>
      <c r="H55" s="326">
        <v>1.19</v>
      </c>
      <c r="I55" s="327" t="s">
        <v>3951</v>
      </c>
      <c r="J55" s="299" t="s">
        <v>3932</v>
      </c>
      <c r="K55" s="300"/>
      <c r="M55" s="245" t="s">
        <v>4043</v>
      </c>
      <c r="N55" s="245" t="s">
        <v>4052</v>
      </c>
      <c r="P55" s="243" t="str">
        <f t="shared" si="0"/>
        <v/>
      </c>
      <c r="Q55" s="243" t="str">
        <f t="shared" si="1"/>
        <v/>
      </c>
      <c r="R55" s="267" t="str">
        <f t="shared" si="2"/>
        <v/>
      </c>
      <c r="S55" s="243" t="str">
        <f t="shared" si="3"/>
        <v>t-CO2/GJ</v>
      </c>
    </row>
    <row r="56" spans="1:19">
      <c r="A56" s="672"/>
      <c r="B56" s="323" t="s">
        <v>3992</v>
      </c>
      <c r="C56" s="324" t="s">
        <v>3981</v>
      </c>
      <c r="D56" s="276" t="s">
        <v>3986</v>
      </c>
      <c r="E56" s="276"/>
      <c r="F56" s="276"/>
      <c r="G56" s="325" t="s">
        <v>3950</v>
      </c>
      <c r="H56" s="326">
        <v>1.19</v>
      </c>
      <c r="I56" s="327" t="s">
        <v>3951</v>
      </c>
      <c r="J56" s="299" t="s">
        <v>3932</v>
      </c>
      <c r="K56" s="300"/>
      <c r="M56" s="245" t="s">
        <v>4043</v>
      </c>
      <c r="N56" s="245" t="s">
        <v>4052</v>
      </c>
      <c r="P56" s="243" t="str">
        <f t="shared" si="0"/>
        <v/>
      </c>
      <c r="Q56" s="243" t="str">
        <f t="shared" si="1"/>
        <v/>
      </c>
      <c r="R56" s="267" t="str">
        <f t="shared" si="2"/>
        <v/>
      </c>
      <c r="S56" s="243" t="str">
        <f t="shared" si="3"/>
        <v>t-CO2/GJ</v>
      </c>
    </row>
    <row r="57" spans="1:19">
      <c r="A57" s="672"/>
      <c r="B57" s="323" t="s">
        <v>3993</v>
      </c>
      <c r="C57" s="324" t="s">
        <v>3981</v>
      </c>
      <c r="D57" s="276" t="s">
        <v>3988</v>
      </c>
      <c r="E57" s="276"/>
      <c r="F57" s="276"/>
      <c r="G57" s="325" t="s">
        <v>3950</v>
      </c>
      <c r="H57" s="326">
        <v>1.19</v>
      </c>
      <c r="I57" s="327" t="s">
        <v>3994</v>
      </c>
      <c r="J57" s="299" t="s">
        <v>3932</v>
      </c>
      <c r="K57" s="300"/>
      <c r="M57" s="245" t="s">
        <v>4043</v>
      </c>
      <c r="N57" s="245" t="s">
        <v>4052</v>
      </c>
      <c r="P57" s="243" t="str">
        <f t="shared" si="0"/>
        <v/>
      </c>
      <c r="Q57" s="243" t="str">
        <f t="shared" si="1"/>
        <v/>
      </c>
      <c r="R57" s="267" t="str">
        <f t="shared" si="2"/>
        <v/>
      </c>
      <c r="S57" s="243" t="str">
        <f t="shared" si="3"/>
        <v>t-CO2/GJ</v>
      </c>
    </row>
    <row r="58" spans="1:19" ht="18" customHeight="1">
      <c r="A58" s="672"/>
      <c r="B58" s="323" t="s">
        <v>3995</v>
      </c>
      <c r="C58" s="324" t="s">
        <v>3981</v>
      </c>
      <c r="D58" s="276" t="s">
        <v>3995</v>
      </c>
      <c r="E58" s="276"/>
      <c r="F58" s="276"/>
      <c r="G58" s="325" t="s">
        <v>3950</v>
      </c>
      <c r="H58" s="299" t="s">
        <v>3932</v>
      </c>
      <c r="I58" s="300"/>
      <c r="J58" s="299" t="s">
        <v>3932</v>
      </c>
      <c r="K58" s="300"/>
      <c r="M58" s="245" t="s">
        <v>4043</v>
      </c>
      <c r="N58" s="245" t="s">
        <v>4052</v>
      </c>
      <c r="P58" s="243" t="str">
        <f t="shared" si="0"/>
        <v/>
      </c>
      <c r="Q58" s="243" t="str">
        <f t="shared" si="1"/>
        <v/>
      </c>
      <c r="R58" s="267" t="str">
        <f t="shared" si="2"/>
        <v/>
      </c>
      <c r="S58" s="243" t="str">
        <f t="shared" si="3"/>
        <v>t-CO2/GJ</v>
      </c>
    </row>
    <row r="59" spans="1:19">
      <c r="A59" s="672"/>
      <c r="B59" s="323" t="s">
        <v>3996</v>
      </c>
      <c r="C59" s="324" t="s">
        <v>3981</v>
      </c>
      <c r="D59" s="276" t="s">
        <v>3996</v>
      </c>
      <c r="E59" s="276"/>
      <c r="F59" s="276"/>
      <c r="G59" s="325" t="s">
        <v>3950</v>
      </c>
      <c r="H59" s="299" t="s">
        <v>3932</v>
      </c>
      <c r="I59" s="300"/>
      <c r="J59" s="299" t="s">
        <v>3932</v>
      </c>
      <c r="K59" s="300"/>
      <c r="M59" s="245" t="s">
        <v>4043</v>
      </c>
      <c r="N59" s="245" t="s">
        <v>4052</v>
      </c>
      <c r="P59" s="243" t="str">
        <f t="shared" si="0"/>
        <v/>
      </c>
      <c r="Q59" s="243" t="str">
        <f t="shared" si="1"/>
        <v/>
      </c>
      <c r="R59" s="267" t="str">
        <f t="shared" si="2"/>
        <v/>
      </c>
      <c r="S59" s="243" t="str">
        <f t="shared" si="3"/>
        <v>t-CO2/GJ</v>
      </c>
    </row>
    <row r="60" spans="1:19">
      <c r="A60" s="672"/>
      <c r="B60" s="323" t="s">
        <v>3997</v>
      </c>
      <c r="C60" s="324" t="s">
        <v>3981</v>
      </c>
      <c r="D60" s="276" t="s">
        <v>3997</v>
      </c>
      <c r="E60" s="276"/>
      <c r="F60" s="276"/>
      <c r="G60" s="325" t="s">
        <v>3950</v>
      </c>
      <c r="H60" s="299" t="s">
        <v>3932</v>
      </c>
      <c r="I60" s="300"/>
      <c r="J60" s="299" t="s">
        <v>3932</v>
      </c>
      <c r="K60" s="300"/>
      <c r="M60" s="245" t="s">
        <v>4043</v>
      </c>
      <c r="N60" s="245" t="s">
        <v>4052</v>
      </c>
      <c r="P60" s="243" t="str">
        <f t="shared" si="0"/>
        <v/>
      </c>
      <c r="Q60" s="243" t="str">
        <f t="shared" si="1"/>
        <v/>
      </c>
      <c r="R60" s="267" t="str">
        <f t="shared" si="2"/>
        <v/>
      </c>
      <c r="S60" s="243" t="str">
        <f t="shared" si="3"/>
        <v>t-CO2/GJ</v>
      </c>
    </row>
    <row r="61" spans="1:19">
      <c r="A61" s="673"/>
      <c r="B61" s="328" t="s">
        <v>3998</v>
      </c>
      <c r="C61" s="329" t="s">
        <v>3981</v>
      </c>
      <c r="D61" s="295" t="s">
        <v>3998</v>
      </c>
      <c r="E61" s="295"/>
      <c r="F61" s="295"/>
      <c r="G61" s="330" t="s">
        <v>3950</v>
      </c>
      <c r="H61" s="331" t="s">
        <v>3932</v>
      </c>
      <c r="I61" s="332"/>
      <c r="J61" s="299" t="s">
        <v>3932</v>
      </c>
      <c r="K61" s="300"/>
      <c r="M61" s="245" t="s">
        <v>4043</v>
      </c>
      <c r="N61" s="245" t="s">
        <v>4052</v>
      </c>
      <c r="P61" s="243" t="str">
        <f t="shared" si="0"/>
        <v/>
      </c>
      <c r="Q61" s="243" t="str">
        <f t="shared" si="1"/>
        <v/>
      </c>
      <c r="R61" s="267" t="str">
        <f t="shared" si="2"/>
        <v/>
      </c>
      <c r="S61" s="243" t="str">
        <f t="shared" si="3"/>
        <v>t-CO2/GJ</v>
      </c>
    </row>
    <row r="62" spans="1:19" ht="36" customHeight="1">
      <c r="A62" s="674" t="s">
        <v>3999</v>
      </c>
      <c r="B62" s="333" t="s">
        <v>4050</v>
      </c>
      <c r="C62" s="318" t="s">
        <v>4000</v>
      </c>
      <c r="D62" s="334" t="s">
        <v>4051</v>
      </c>
      <c r="E62" s="261"/>
      <c r="F62" s="261"/>
      <c r="G62" s="302" t="s">
        <v>4001</v>
      </c>
      <c r="H62" s="335">
        <v>8.64</v>
      </c>
      <c r="I62" s="336" t="s">
        <v>4002</v>
      </c>
      <c r="J62" s="304" t="s">
        <v>3932</v>
      </c>
      <c r="K62" s="305"/>
      <c r="M62" s="245" t="s">
        <v>24</v>
      </c>
      <c r="N62" s="245" t="s">
        <v>4044</v>
      </c>
      <c r="O62" s="243" t="s">
        <v>4232</v>
      </c>
      <c r="P62" s="243" t="str">
        <f t="shared" si="0"/>
        <v/>
      </c>
      <c r="Q62" s="243" t="str">
        <f t="shared" si="1"/>
        <v>電気</v>
      </c>
      <c r="R62" s="267" t="str">
        <f t="shared" si="2"/>
        <v/>
      </c>
      <c r="S62" s="243" t="str">
        <f t="shared" si="3"/>
        <v>t-CO2/千kWh</v>
      </c>
    </row>
    <row r="63" spans="1:19">
      <c r="A63" s="675"/>
      <c r="B63" s="323" t="s">
        <v>4003</v>
      </c>
      <c r="C63" s="324" t="s">
        <v>4000</v>
      </c>
      <c r="D63" s="337" t="s">
        <v>4004</v>
      </c>
      <c r="E63" s="276"/>
      <c r="F63" s="276"/>
      <c r="G63" s="307" t="s">
        <v>4001</v>
      </c>
      <c r="H63" s="338" t="s">
        <v>3932</v>
      </c>
      <c r="I63" s="300"/>
      <c r="J63" s="299" t="s">
        <v>3932</v>
      </c>
      <c r="K63" s="300"/>
      <c r="M63" s="245" t="s">
        <v>24</v>
      </c>
      <c r="N63" s="245" t="s">
        <v>4052</v>
      </c>
      <c r="P63" s="243" t="str">
        <f t="shared" si="0"/>
        <v/>
      </c>
      <c r="Q63" s="243" t="str">
        <f t="shared" si="1"/>
        <v/>
      </c>
      <c r="R63" s="267" t="str">
        <f t="shared" si="2"/>
        <v/>
      </c>
      <c r="S63" s="243" t="str">
        <f t="shared" si="3"/>
        <v>t-CO2/千kWh</v>
      </c>
    </row>
    <row r="64" spans="1:19">
      <c r="A64" s="675"/>
      <c r="B64" s="323" t="s">
        <v>4005</v>
      </c>
      <c r="C64" s="324" t="s">
        <v>4000</v>
      </c>
      <c r="D64" s="337" t="s">
        <v>4005</v>
      </c>
      <c r="E64" s="276"/>
      <c r="F64" s="339"/>
      <c r="G64" s="307" t="s">
        <v>4001</v>
      </c>
      <c r="H64" s="340">
        <v>8.64</v>
      </c>
      <c r="I64" s="341" t="s">
        <v>4002</v>
      </c>
      <c r="J64" s="299" t="s">
        <v>3932</v>
      </c>
      <c r="K64" s="300"/>
      <c r="M64" s="245" t="s">
        <v>24</v>
      </c>
      <c r="N64" s="245" t="s">
        <v>4052</v>
      </c>
      <c r="P64" s="243" t="str">
        <f t="shared" si="0"/>
        <v/>
      </c>
      <c r="Q64" s="243" t="str">
        <f t="shared" si="1"/>
        <v/>
      </c>
      <c r="R64" s="267" t="str">
        <f t="shared" si="2"/>
        <v/>
      </c>
      <c r="S64" s="243" t="str">
        <f t="shared" si="3"/>
        <v>t-CO2/千kWh</v>
      </c>
    </row>
    <row r="65" spans="1:19" ht="17.45" customHeight="1">
      <c r="A65" s="675"/>
      <c r="B65" s="342" t="s">
        <v>4006</v>
      </c>
      <c r="C65" s="343" t="s">
        <v>4000</v>
      </c>
      <c r="D65" s="677" t="s">
        <v>4007</v>
      </c>
      <c r="E65" s="662" t="s">
        <v>4008</v>
      </c>
      <c r="F65" s="344" t="s">
        <v>4009</v>
      </c>
      <c r="G65" s="345" t="s">
        <v>4001</v>
      </c>
      <c r="H65" s="346">
        <v>8.64</v>
      </c>
      <c r="I65" s="347" t="s">
        <v>4002</v>
      </c>
      <c r="J65" s="348" t="s">
        <v>3932</v>
      </c>
      <c r="K65" s="349"/>
      <c r="M65" s="245" t="s">
        <v>24</v>
      </c>
      <c r="N65" s="245" t="s">
        <v>4052</v>
      </c>
      <c r="P65" s="243" t="str">
        <f t="shared" si="0"/>
        <v/>
      </c>
      <c r="Q65" s="243" t="str">
        <f t="shared" si="1"/>
        <v/>
      </c>
      <c r="R65" s="267" t="str">
        <f t="shared" si="2"/>
        <v/>
      </c>
      <c r="S65" s="243" t="str">
        <f t="shared" si="3"/>
        <v>t-CO2/千kWh</v>
      </c>
    </row>
    <row r="66" spans="1:19">
      <c r="A66" s="675"/>
      <c r="B66" s="323" t="s">
        <v>4010</v>
      </c>
      <c r="C66" s="324" t="s">
        <v>4000</v>
      </c>
      <c r="D66" s="677"/>
      <c r="E66" s="663"/>
      <c r="F66" s="350" t="s">
        <v>4011</v>
      </c>
      <c r="G66" s="307" t="s">
        <v>4001</v>
      </c>
      <c r="H66" s="340">
        <v>8.64</v>
      </c>
      <c r="I66" s="341" t="s">
        <v>4002</v>
      </c>
      <c r="J66" s="299" t="s">
        <v>3932</v>
      </c>
      <c r="K66" s="300"/>
      <c r="M66" s="245" t="s">
        <v>24</v>
      </c>
      <c r="N66" s="245" t="s">
        <v>4052</v>
      </c>
      <c r="P66" s="243" t="str">
        <f t="shared" si="0"/>
        <v/>
      </c>
      <c r="Q66" s="243" t="str">
        <f t="shared" si="1"/>
        <v/>
      </c>
      <c r="R66" s="267" t="str">
        <f t="shared" si="2"/>
        <v/>
      </c>
      <c r="S66" s="243" t="str">
        <f t="shared" si="3"/>
        <v>t-CO2/千kWh</v>
      </c>
    </row>
    <row r="67" spans="1:19" ht="37.5">
      <c r="A67" s="675"/>
      <c r="B67" s="323" t="s">
        <v>4014</v>
      </c>
      <c r="C67" s="324" t="s">
        <v>4000</v>
      </c>
      <c r="D67" s="677"/>
      <c r="E67" s="664" t="s">
        <v>4012</v>
      </c>
      <c r="F67" s="351" t="s">
        <v>4013</v>
      </c>
      <c r="G67" s="307" t="s">
        <v>4001</v>
      </c>
      <c r="H67" s="352">
        <v>3.6</v>
      </c>
      <c r="I67" s="341" t="s">
        <v>4002</v>
      </c>
      <c r="J67" s="299" t="s">
        <v>3932</v>
      </c>
      <c r="K67" s="300"/>
      <c r="M67" s="245" t="s">
        <v>24</v>
      </c>
      <c r="N67" s="245" t="s">
        <v>4052</v>
      </c>
      <c r="P67" s="243" t="str">
        <f t="shared" si="0"/>
        <v/>
      </c>
      <c r="Q67" s="243" t="str">
        <f t="shared" si="1"/>
        <v/>
      </c>
      <c r="R67" s="267" t="str">
        <f t="shared" si="2"/>
        <v/>
      </c>
      <c r="S67" s="243" t="str">
        <f t="shared" si="3"/>
        <v>t-CO2/千kWh</v>
      </c>
    </row>
    <row r="68" spans="1:19" ht="37.5">
      <c r="A68" s="675"/>
      <c r="B68" s="323" t="s">
        <v>4015</v>
      </c>
      <c r="C68" s="324" t="s">
        <v>4000</v>
      </c>
      <c r="D68" s="678"/>
      <c r="E68" s="663"/>
      <c r="F68" s="351" t="s">
        <v>4016</v>
      </c>
      <c r="G68" s="307" t="s">
        <v>4001</v>
      </c>
      <c r="H68" s="352">
        <v>3.6</v>
      </c>
      <c r="I68" s="341" t="s">
        <v>4002</v>
      </c>
      <c r="J68" s="299" t="s">
        <v>3932</v>
      </c>
      <c r="K68" s="300"/>
      <c r="M68" s="245" t="s">
        <v>24</v>
      </c>
      <c r="N68" s="245" t="s">
        <v>4052</v>
      </c>
      <c r="P68" s="243" t="str">
        <f t="shared" si="0"/>
        <v/>
      </c>
      <c r="Q68" s="243" t="str">
        <f t="shared" si="1"/>
        <v/>
      </c>
      <c r="R68" s="267" t="str">
        <f t="shared" si="2"/>
        <v/>
      </c>
      <c r="S68" s="243" t="str">
        <f t="shared" si="3"/>
        <v>t-CO2/千kWh</v>
      </c>
    </row>
    <row r="69" spans="1:19">
      <c r="A69" s="675"/>
      <c r="B69" s="323" t="s">
        <v>4017</v>
      </c>
      <c r="C69" s="324" t="s">
        <v>4000</v>
      </c>
      <c r="D69" s="665" t="s">
        <v>4018</v>
      </c>
      <c r="E69" s="353" t="s">
        <v>4019</v>
      </c>
      <c r="F69" s="354"/>
      <c r="G69" s="307" t="s">
        <v>4001</v>
      </c>
      <c r="H69" s="352">
        <v>3.6</v>
      </c>
      <c r="I69" s="341" t="s">
        <v>4002</v>
      </c>
      <c r="J69" s="299" t="s">
        <v>3932</v>
      </c>
      <c r="K69" s="300"/>
      <c r="M69" s="245" t="s">
        <v>24</v>
      </c>
      <c r="N69" s="245" t="s">
        <v>4052</v>
      </c>
      <c r="P69" s="243" t="str">
        <f t="shared" ref="P69:P80" si="4">IF(N69="プルダウン",B69,"")</f>
        <v/>
      </c>
      <c r="Q69" s="243" t="str">
        <f t="shared" ref="Q69:Q80" si="5">IF(N69="代表的なエネルギー",O69,IF(N69="プルダウン",P69,""))</f>
        <v/>
      </c>
      <c r="R69" s="267" t="str">
        <f t="shared" ref="R69:R80" si="6">IFERROR(H69*J69*44/12,"")</f>
        <v/>
      </c>
      <c r="S69" s="243" t="str">
        <f t="shared" ref="S69:S80" si="7">"t-CO2/"&amp;G69</f>
        <v>t-CO2/千kWh</v>
      </c>
    </row>
    <row r="70" spans="1:19">
      <c r="A70" s="675"/>
      <c r="B70" s="323" t="s">
        <v>4020</v>
      </c>
      <c r="C70" s="324" t="s">
        <v>4000</v>
      </c>
      <c r="D70" s="666"/>
      <c r="E70" s="664" t="s">
        <v>4021</v>
      </c>
      <c r="F70" s="350" t="s">
        <v>4009</v>
      </c>
      <c r="G70" s="307" t="s">
        <v>4001</v>
      </c>
      <c r="H70" s="340">
        <v>8.64</v>
      </c>
      <c r="I70" s="341" t="s">
        <v>4002</v>
      </c>
      <c r="J70" s="299" t="s">
        <v>3932</v>
      </c>
      <c r="K70" s="300"/>
      <c r="M70" s="245" t="s">
        <v>24</v>
      </c>
      <c r="N70" s="245" t="s">
        <v>4052</v>
      </c>
      <c r="P70" s="243" t="str">
        <f t="shared" si="4"/>
        <v/>
      </c>
      <c r="Q70" s="243" t="str">
        <f t="shared" si="5"/>
        <v/>
      </c>
      <c r="R70" s="267" t="str">
        <f t="shared" si="6"/>
        <v/>
      </c>
      <c r="S70" s="243" t="str">
        <f t="shared" si="7"/>
        <v>t-CO2/千kWh</v>
      </c>
    </row>
    <row r="71" spans="1:19">
      <c r="A71" s="675"/>
      <c r="B71" s="323" t="s">
        <v>4022</v>
      </c>
      <c r="C71" s="324" t="s">
        <v>4000</v>
      </c>
      <c r="D71" s="667"/>
      <c r="E71" s="663"/>
      <c r="F71" s="350" t="s">
        <v>4011</v>
      </c>
      <c r="G71" s="307" t="s">
        <v>4001</v>
      </c>
      <c r="H71" s="340">
        <v>8.64</v>
      </c>
      <c r="I71" s="341" t="s">
        <v>4002</v>
      </c>
      <c r="J71" s="299" t="s">
        <v>3932</v>
      </c>
      <c r="K71" s="300"/>
      <c r="M71" s="245" t="s">
        <v>24</v>
      </c>
      <c r="N71" s="245" t="s">
        <v>4052</v>
      </c>
      <c r="P71" s="243" t="str">
        <f t="shared" si="4"/>
        <v/>
      </c>
      <c r="Q71" s="243" t="str">
        <f t="shared" si="5"/>
        <v/>
      </c>
      <c r="R71" s="267" t="str">
        <f t="shared" si="6"/>
        <v/>
      </c>
      <c r="S71" s="243" t="str">
        <f t="shared" si="7"/>
        <v>t-CO2/千kWh</v>
      </c>
    </row>
    <row r="72" spans="1:19">
      <c r="A72" s="675"/>
      <c r="B72" s="323" t="s">
        <v>4023</v>
      </c>
      <c r="C72" s="324" t="s">
        <v>4000</v>
      </c>
      <c r="D72" s="665" t="s">
        <v>4024</v>
      </c>
      <c r="E72" s="355" t="s">
        <v>4019</v>
      </c>
      <c r="F72" s="354"/>
      <c r="G72" s="307" t="s">
        <v>4001</v>
      </c>
      <c r="H72" s="352">
        <v>3.6</v>
      </c>
      <c r="I72" s="341" t="s">
        <v>4002</v>
      </c>
      <c r="J72" s="299" t="s">
        <v>3932</v>
      </c>
      <c r="K72" s="300"/>
      <c r="M72" s="245" t="s">
        <v>24</v>
      </c>
      <c r="N72" s="245" t="s">
        <v>4052</v>
      </c>
      <c r="P72" s="243" t="str">
        <f t="shared" si="4"/>
        <v/>
      </c>
      <c r="Q72" s="243" t="str">
        <f t="shared" si="5"/>
        <v/>
      </c>
      <c r="R72" s="267" t="str">
        <f t="shared" si="6"/>
        <v/>
      </c>
      <c r="S72" s="243" t="str">
        <f t="shared" si="7"/>
        <v>t-CO2/千kWh</v>
      </c>
    </row>
    <row r="73" spans="1:19">
      <c r="A73" s="675"/>
      <c r="B73" s="323" t="s">
        <v>4025</v>
      </c>
      <c r="C73" s="324" t="s">
        <v>4000</v>
      </c>
      <c r="D73" s="666"/>
      <c r="E73" s="664" t="s">
        <v>4021</v>
      </c>
      <c r="F73" s="350" t="s">
        <v>4009</v>
      </c>
      <c r="G73" s="307" t="s">
        <v>4001</v>
      </c>
      <c r="H73" s="340">
        <v>8.64</v>
      </c>
      <c r="I73" s="341" t="s">
        <v>4002</v>
      </c>
      <c r="J73" s="299" t="s">
        <v>3932</v>
      </c>
      <c r="K73" s="300"/>
      <c r="M73" s="245" t="s">
        <v>24</v>
      </c>
      <c r="N73" s="245" t="s">
        <v>4052</v>
      </c>
      <c r="P73" s="243" t="str">
        <f t="shared" si="4"/>
        <v/>
      </c>
      <c r="Q73" s="243" t="str">
        <f t="shared" si="5"/>
        <v/>
      </c>
      <c r="R73" s="267" t="str">
        <f t="shared" si="6"/>
        <v/>
      </c>
      <c r="S73" s="243" t="str">
        <f t="shared" si="7"/>
        <v>t-CO2/千kWh</v>
      </c>
    </row>
    <row r="74" spans="1:19">
      <c r="A74" s="675"/>
      <c r="B74" s="323" t="s">
        <v>4026</v>
      </c>
      <c r="C74" s="324" t="s">
        <v>4000</v>
      </c>
      <c r="D74" s="667"/>
      <c r="E74" s="663"/>
      <c r="F74" s="350" t="s">
        <v>4011</v>
      </c>
      <c r="G74" s="307" t="s">
        <v>4001</v>
      </c>
      <c r="H74" s="340">
        <v>8.64</v>
      </c>
      <c r="I74" s="341" t="s">
        <v>4002</v>
      </c>
      <c r="J74" s="299" t="s">
        <v>3932</v>
      </c>
      <c r="K74" s="300"/>
      <c r="M74" s="245" t="s">
        <v>24</v>
      </c>
      <c r="N74" s="245" t="s">
        <v>4052</v>
      </c>
      <c r="P74" s="243" t="str">
        <f t="shared" si="4"/>
        <v/>
      </c>
      <c r="Q74" s="243" t="str">
        <f t="shared" si="5"/>
        <v/>
      </c>
      <c r="R74" s="267" t="str">
        <f t="shared" si="6"/>
        <v/>
      </c>
      <c r="S74" s="243" t="str">
        <f t="shared" si="7"/>
        <v>t-CO2/千kWh</v>
      </c>
    </row>
    <row r="75" spans="1:19">
      <c r="A75" s="675"/>
      <c r="B75" s="323" t="s">
        <v>4027</v>
      </c>
      <c r="C75" s="324" t="s">
        <v>4000</v>
      </c>
      <c r="D75" s="665" t="s">
        <v>4028</v>
      </c>
      <c r="E75" s="356" t="s">
        <v>4029</v>
      </c>
      <c r="F75" s="354"/>
      <c r="G75" s="307" t="s">
        <v>4001</v>
      </c>
      <c r="H75" s="352">
        <v>3.6</v>
      </c>
      <c r="I75" s="341" t="s">
        <v>4002</v>
      </c>
      <c r="J75" s="299" t="s">
        <v>3932</v>
      </c>
      <c r="K75" s="300"/>
      <c r="M75" s="245" t="s">
        <v>24</v>
      </c>
      <c r="N75" s="245" t="s">
        <v>4052</v>
      </c>
      <c r="P75" s="243" t="str">
        <f t="shared" si="4"/>
        <v/>
      </c>
      <c r="Q75" s="243" t="str">
        <f t="shared" si="5"/>
        <v/>
      </c>
      <c r="R75" s="267" t="str">
        <f t="shared" si="6"/>
        <v/>
      </c>
      <c r="S75" s="243" t="str">
        <f t="shared" si="7"/>
        <v>t-CO2/千kWh</v>
      </c>
    </row>
    <row r="76" spans="1:19">
      <c r="A76" s="675"/>
      <c r="B76" s="323" t="s">
        <v>4030</v>
      </c>
      <c r="C76" s="324" t="s">
        <v>4000</v>
      </c>
      <c r="D76" s="666"/>
      <c r="E76" s="356" t="s">
        <v>4031</v>
      </c>
      <c r="F76" s="354"/>
      <c r="G76" s="307" t="s">
        <v>4001</v>
      </c>
      <c r="H76" s="352">
        <v>3.6</v>
      </c>
      <c r="I76" s="341" t="s">
        <v>4002</v>
      </c>
      <c r="J76" s="299" t="s">
        <v>3932</v>
      </c>
      <c r="K76" s="300"/>
      <c r="M76" s="245" t="s">
        <v>24</v>
      </c>
      <c r="N76" s="245" t="s">
        <v>4052</v>
      </c>
      <c r="P76" s="243" t="str">
        <f t="shared" si="4"/>
        <v/>
      </c>
      <c r="Q76" s="243" t="str">
        <f t="shared" si="5"/>
        <v/>
      </c>
      <c r="R76" s="267" t="str">
        <f t="shared" si="6"/>
        <v/>
      </c>
      <c r="S76" s="243" t="str">
        <f t="shared" si="7"/>
        <v>t-CO2/千kWh</v>
      </c>
    </row>
    <row r="77" spans="1:19">
      <c r="A77" s="675"/>
      <c r="B77" s="323" t="s">
        <v>4032</v>
      </c>
      <c r="C77" s="324" t="s">
        <v>4000</v>
      </c>
      <c r="D77" s="666"/>
      <c r="E77" s="356" t="s">
        <v>4033</v>
      </c>
      <c r="F77" s="354"/>
      <c r="G77" s="307" t="s">
        <v>4001</v>
      </c>
      <c r="H77" s="352">
        <v>3.6</v>
      </c>
      <c r="I77" s="341" t="s">
        <v>4002</v>
      </c>
      <c r="J77" s="299" t="s">
        <v>3932</v>
      </c>
      <c r="K77" s="300"/>
      <c r="M77" s="245" t="s">
        <v>24</v>
      </c>
      <c r="N77" s="245" t="s">
        <v>4052</v>
      </c>
      <c r="P77" s="243" t="str">
        <f t="shared" si="4"/>
        <v/>
      </c>
      <c r="Q77" s="243" t="str">
        <f t="shared" si="5"/>
        <v/>
      </c>
      <c r="R77" s="267" t="str">
        <f t="shared" si="6"/>
        <v/>
      </c>
      <c r="S77" s="243" t="str">
        <f t="shared" si="7"/>
        <v>t-CO2/千kWh</v>
      </c>
    </row>
    <row r="78" spans="1:19">
      <c r="A78" s="675"/>
      <c r="B78" s="323" t="s">
        <v>4034</v>
      </c>
      <c r="C78" s="324" t="s">
        <v>4000</v>
      </c>
      <c r="D78" s="666"/>
      <c r="E78" s="356" t="s">
        <v>4035</v>
      </c>
      <c r="F78" s="354"/>
      <c r="G78" s="307" t="s">
        <v>4001</v>
      </c>
      <c r="H78" s="352">
        <v>3.6</v>
      </c>
      <c r="I78" s="341" t="s">
        <v>4002</v>
      </c>
      <c r="J78" s="299" t="s">
        <v>3932</v>
      </c>
      <c r="K78" s="300"/>
      <c r="M78" s="245" t="s">
        <v>24</v>
      </c>
      <c r="N78" s="245" t="s">
        <v>4052</v>
      </c>
      <c r="P78" s="243" t="str">
        <f t="shared" si="4"/>
        <v/>
      </c>
      <c r="Q78" s="243" t="str">
        <f t="shared" si="5"/>
        <v/>
      </c>
      <c r="R78" s="267" t="str">
        <f t="shared" si="6"/>
        <v/>
      </c>
      <c r="S78" s="243" t="str">
        <f t="shared" si="7"/>
        <v>t-CO2/千kWh</v>
      </c>
    </row>
    <row r="79" spans="1:19" ht="37.5">
      <c r="A79" s="675"/>
      <c r="B79" s="323" t="s">
        <v>4036</v>
      </c>
      <c r="C79" s="324" t="s">
        <v>4000</v>
      </c>
      <c r="D79" s="666"/>
      <c r="E79" s="680" t="s">
        <v>4037</v>
      </c>
      <c r="F79" s="357" t="s">
        <v>4038</v>
      </c>
      <c r="G79" s="307" t="s">
        <v>4001</v>
      </c>
      <c r="H79" s="352">
        <v>3.6</v>
      </c>
      <c r="I79" s="341" t="s">
        <v>4002</v>
      </c>
      <c r="J79" s="299" t="s">
        <v>3932</v>
      </c>
      <c r="K79" s="300"/>
      <c r="M79" s="245" t="s">
        <v>24</v>
      </c>
      <c r="N79" s="245" t="s">
        <v>4052</v>
      </c>
      <c r="P79" s="243" t="str">
        <f t="shared" si="4"/>
        <v/>
      </c>
      <c r="Q79" s="243" t="str">
        <f t="shared" si="5"/>
        <v/>
      </c>
      <c r="R79" s="267" t="str">
        <f t="shared" si="6"/>
        <v/>
      </c>
      <c r="S79" s="243" t="str">
        <f t="shared" si="7"/>
        <v>t-CO2/千kWh</v>
      </c>
    </row>
    <row r="80" spans="1:19">
      <c r="A80" s="676"/>
      <c r="B80" s="328" t="s">
        <v>4039</v>
      </c>
      <c r="C80" s="329" t="s">
        <v>4000</v>
      </c>
      <c r="D80" s="679"/>
      <c r="E80" s="681"/>
      <c r="F80" s="358" t="s">
        <v>4040</v>
      </c>
      <c r="G80" s="315" t="s">
        <v>4001</v>
      </c>
      <c r="H80" s="331" t="s">
        <v>3932</v>
      </c>
      <c r="I80" s="332"/>
      <c r="J80" s="331" t="s">
        <v>3932</v>
      </c>
      <c r="K80" s="332"/>
      <c r="M80" s="245" t="s">
        <v>24</v>
      </c>
      <c r="N80" s="245" t="s">
        <v>4052</v>
      </c>
      <c r="P80" s="243" t="str">
        <f t="shared" si="4"/>
        <v/>
      </c>
      <c r="Q80" s="243" t="str">
        <f t="shared" si="5"/>
        <v/>
      </c>
      <c r="R80" s="267" t="str">
        <f t="shared" si="6"/>
        <v/>
      </c>
      <c r="S80" s="243" t="str">
        <f t="shared" si="7"/>
        <v>t-CO2/千kWh</v>
      </c>
    </row>
  </sheetData>
  <sheetProtection algorithmName="SHA-512" hashValue="ueyUTcSM229kIkTZ0qU+d57gV6nAgW7RPgQzLsEWHUWqAITcHsp43ypchs8kvatmkxV75cshRspo4LVV575DAw==" saltValue="3B2J3HFxT8UR3x6zvmfGJw==" spinCount="100000" sheet="1" objects="1" scenarios="1" selectLockedCells="1"/>
  <mergeCells count="21">
    <mergeCell ref="E73:E74"/>
    <mergeCell ref="D75:D80"/>
    <mergeCell ref="E79:E80"/>
    <mergeCell ref="A33:A49"/>
    <mergeCell ref="D43:D44"/>
    <mergeCell ref="A50:A61"/>
    <mergeCell ref="A62:A80"/>
    <mergeCell ref="D65:D68"/>
    <mergeCell ref="E65:E66"/>
    <mergeCell ref="E67:E68"/>
    <mergeCell ref="D69:D71"/>
    <mergeCell ref="E70:E71"/>
    <mergeCell ref="D72:D74"/>
    <mergeCell ref="R2:S2"/>
    <mergeCell ref="R3:S3"/>
    <mergeCell ref="A4:A32"/>
    <mergeCell ref="D15:D16"/>
    <mergeCell ref="D17:D18"/>
    <mergeCell ref="D19:D24"/>
    <mergeCell ref="E19:E21"/>
    <mergeCell ref="E22:E23"/>
  </mergeCells>
  <phoneticPr fontId="4"/>
  <dataValidations count="1">
    <dataValidation type="list" allowBlank="1" showInputMessage="1" showErrorMessage="1" sqref="N4:N80" xr:uid="{D38AD058-7F52-40F4-99AD-7B7E782F00AD}">
      <formula1>"代表的なエネルギー,プルダウン,-"</formula1>
    </dataValidation>
  </dataValidations>
  <pageMargins left="0.70866141732283472" right="0.70866141732283472" top="0.38" bottom="0.2" header="0.31496062992125984" footer="0.31496062992125984"/>
  <pageSetup paperSize="8" scale="53"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CC1F-C168-4602-A5B3-30621CC8864C}">
  <sheetPr codeName="Sheet4"/>
  <dimension ref="A1:D43"/>
  <sheetViews>
    <sheetView workbookViewId="0">
      <selection sqref="A1:XFD1048576"/>
    </sheetView>
  </sheetViews>
  <sheetFormatPr defaultRowHeight="18.75"/>
  <cols>
    <col min="1" max="1" width="31" style="213" customWidth="1"/>
    <col min="2" max="2" width="26" style="213" customWidth="1"/>
    <col min="3" max="3" width="31" style="213" customWidth="1"/>
    <col min="4" max="4" width="24.125" style="213" customWidth="1"/>
    <col min="5" max="16384" width="9" style="213"/>
  </cols>
  <sheetData>
    <row r="1" spans="1:4">
      <c r="A1" s="213" t="s">
        <v>4078</v>
      </c>
      <c r="B1" s="360" t="s">
        <v>4272</v>
      </c>
      <c r="C1" s="213" t="s">
        <v>4078</v>
      </c>
      <c r="D1" s="360" t="s">
        <v>4273</v>
      </c>
    </row>
    <row r="2" spans="1:4">
      <c r="A2" s="213" t="s">
        <v>4269</v>
      </c>
      <c r="C2" s="213" t="s">
        <v>4057</v>
      </c>
    </row>
    <row r="3" spans="1:4">
      <c r="A3" s="213" t="s">
        <v>4</v>
      </c>
      <c r="C3" s="213" t="s">
        <v>4058</v>
      </c>
    </row>
    <row r="4" spans="1:4">
      <c r="A4" s="213" t="s">
        <v>3960</v>
      </c>
      <c r="C4" s="213" t="s">
        <v>3908</v>
      </c>
    </row>
    <row r="5" spans="1:4">
      <c r="A5" s="213" t="s">
        <v>3963</v>
      </c>
      <c r="C5" s="213" t="s">
        <v>3909</v>
      </c>
    </row>
    <row r="6" spans="1:4">
      <c r="C6" s="213" t="s">
        <v>3911</v>
      </c>
    </row>
    <row r="7" spans="1:4">
      <c r="C7" s="213" t="s">
        <v>3913</v>
      </c>
    </row>
    <row r="8" spans="1:4">
      <c r="C8" s="213" t="s">
        <v>3914</v>
      </c>
    </row>
    <row r="9" spans="1:4">
      <c r="C9" s="213" t="s">
        <v>3915</v>
      </c>
    </row>
    <row r="10" spans="1:4">
      <c r="C10" s="213" t="s">
        <v>3916</v>
      </c>
    </row>
    <row r="11" spans="1:4">
      <c r="C11" s="213" t="s">
        <v>3919</v>
      </c>
    </row>
    <row r="12" spans="1:4">
      <c r="C12" s="213" t="s">
        <v>3922</v>
      </c>
    </row>
    <row r="13" spans="1:4">
      <c r="C13" s="213" t="s">
        <v>4268</v>
      </c>
    </row>
    <row r="14" spans="1:4">
      <c r="C14" s="213" t="s">
        <v>3927</v>
      </c>
    </row>
    <row r="15" spans="1:4">
      <c r="C15" s="213" t="s">
        <v>4059</v>
      </c>
    </row>
    <row r="16" spans="1:4">
      <c r="C16" s="213" t="s">
        <v>4060</v>
      </c>
    </row>
    <row r="17" spans="3:3">
      <c r="C17" s="213" t="s">
        <v>4061</v>
      </c>
    </row>
    <row r="18" spans="3:3">
      <c r="C18" s="213" t="s">
        <v>3935</v>
      </c>
    </row>
    <row r="19" spans="3:3">
      <c r="C19" s="213" t="s">
        <v>3936</v>
      </c>
    </row>
    <row r="20" spans="3:3">
      <c r="C20" s="213" t="s">
        <v>4062</v>
      </c>
    </row>
    <row r="21" spans="3:3">
      <c r="C21" s="213" t="s">
        <v>3938</v>
      </c>
    </row>
    <row r="22" spans="3:3">
      <c r="C22" s="213" t="s">
        <v>3939</v>
      </c>
    </row>
    <row r="23" spans="3:3">
      <c r="C23" s="213" t="s">
        <v>3940</v>
      </c>
    </row>
    <row r="24" spans="3:3">
      <c r="C24" s="213" t="s">
        <v>3941</v>
      </c>
    </row>
    <row r="25" spans="3:3">
      <c r="C25" s="213" t="s">
        <v>4063</v>
      </c>
    </row>
    <row r="26" spans="3:3">
      <c r="C26" s="213" t="s">
        <v>3943</v>
      </c>
    </row>
    <row r="27" spans="3:3">
      <c r="C27" s="213" t="s">
        <v>4064</v>
      </c>
    </row>
    <row r="28" spans="3:3">
      <c r="C28" s="213" t="s">
        <v>4065</v>
      </c>
    </row>
    <row r="29" spans="3:3">
      <c r="C29" s="213" t="s">
        <v>4066</v>
      </c>
    </row>
    <row r="30" spans="3:3">
      <c r="C30" s="213" t="s">
        <v>3960</v>
      </c>
    </row>
    <row r="31" spans="3:3">
      <c r="C31" s="213" t="s">
        <v>3963</v>
      </c>
    </row>
    <row r="32" spans="3:3">
      <c r="C32" s="213" t="s">
        <v>3964</v>
      </c>
    </row>
    <row r="33" spans="3:3">
      <c r="C33" s="213" t="s">
        <v>4067</v>
      </c>
    </row>
    <row r="34" spans="3:3">
      <c r="C34" s="213" t="s">
        <v>3968</v>
      </c>
    </row>
    <row r="35" spans="3:3">
      <c r="C35" s="213" t="s">
        <v>3969</v>
      </c>
    </row>
    <row r="36" spans="3:3">
      <c r="C36" s="213" t="s">
        <v>4068</v>
      </c>
    </row>
    <row r="37" spans="3:3">
      <c r="C37" s="213" t="s">
        <v>4069</v>
      </c>
    </row>
    <row r="38" spans="3:3">
      <c r="C38" s="213" t="s">
        <v>4070</v>
      </c>
    </row>
    <row r="39" spans="3:3">
      <c r="C39" s="213" t="s">
        <v>4071</v>
      </c>
    </row>
    <row r="40" spans="3:3">
      <c r="C40" s="213" t="s">
        <v>4072</v>
      </c>
    </row>
    <row r="41" spans="3:3">
      <c r="C41" s="213" t="s">
        <v>4073</v>
      </c>
    </row>
    <row r="42" spans="3:3">
      <c r="C42" s="213" t="s">
        <v>4074</v>
      </c>
    </row>
    <row r="43" spans="3:3">
      <c r="C43" s="213" t="s">
        <v>3980</v>
      </c>
    </row>
  </sheetData>
  <sheetProtection algorithmName="SHA-512" hashValue="N3u8GtcOhLBdLpBs2hN78zwNWgXtl0SI22fBKaIWtWIpeid0Cmmgd5PXf3ZCrVc26OS9K5K0S4wJlnF6mID9DQ==" saltValue="Wjo1aZXzRqqhPJ2/1853PA==" spinCount="100000" sheet="1" objects="1" scenarios="1" selectLockedCells="1"/>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596D-69F2-4F06-87F0-68380F070E93}">
  <sheetPr codeName="Sheet9"/>
  <dimension ref="A1:B19"/>
  <sheetViews>
    <sheetView workbookViewId="0">
      <selection activeCell="B9" sqref="B9"/>
    </sheetView>
  </sheetViews>
  <sheetFormatPr defaultRowHeight="18.75"/>
  <cols>
    <col min="1" max="1" width="6.5" style="213" customWidth="1"/>
    <col min="2" max="2" width="92.625" style="213" customWidth="1"/>
    <col min="3" max="16384" width="9" style="213"/>
  </cols>
  <sheetData>
    <row r="1" spans="1:2">
      <c r="A1" s="213" t="s">
        <v>4351</v>
      </c>
    </row>
    <row r="2" spans="1:2">
      <c r="A2" s="361" t="s">
        <v>4086</v>
      </c>
      <c r="B2" s="361" t="s">
        <v>4087</v>
      </c>
    </row>
    <row r="3" spans="1:2">
      <c r="A3" s="361">
        <v>1</v>
      </c>
      <c r="B3" s="362" t="s">
        <v>4088</v>
      </c>
    </row>
    <row r="4" spans="1:2">
      <c r="A4" s="361">
        <v>2</v>
      </c>
      <c r="B4" s="362" t="s">
        <v>4250</v>
      </c>
    </row>
    <row r="5" spans="1:2">
      <c r="A5" s="361">
        <v>3</v>
      </c>
      <c r="B5" s="362" t="s">
        <v>4251</v>
      </c>
    </row>
    <row r="6" spans="1:2">
      <c r="A6" s="361">
        <v>4</v>
      </c>
      <c r="B6" s="362" t="s">
        <v>4252</v>
      </c>
    </row>
    <row r="7" spans="1:2">
      <c r="A7" s="361">
        <v>5</v>
      </c>
      <c r="B7" s="362" t="s">
        <v>4253</v>
      </c>
    </row>
    <row r="8" spans="1:2">
      <c r="A8" s="361">
        <v>6</v>
      </c>
      <c r="B8" s="362" t="s">
        <v>4254</v>
      </c>
    </row>
    <row r="9" spans="1:2">
      <c r="A9" s="361">
        <v>7</v>
      </c>
      <c r="B9" s="362" t="s">
        <v>4255</v>
      </c>
    </row>
    <row r="10" spans="1:2">
      <c r="A10" s="361">
        <v>8</v>
      </c>
      <c r="B10" s="362" t="s">
        <v>4256</v>
      </c>
    </row>
    <row r="11" spans="1:2">
      <c r="A11" s="361">
        <v>9</v>
      </c>
      <c r="B11" s="362" t="s">
        <v>4257</v>
      </c>
    </row>
    <row r="12" spans="1:2">
      <c r="A12" s="361">
        <v>10</v>
      </c>
      <c r="B12" s="362" t="s">
        <v>4258</v>
      </c>
    </row>
    <row r="13" spans="1:2">
      <c r="A13" s="361">
        <v>11</v>
      </c>
      <c r="B13" s="362" t="s">
        <v>4259</v>
      </c>
    </row>
    <row r="14" spans="1:2">
      <c r="A14" s="361">
        <v>12</v>
      </c>
      <c r="B14" s="362" t="s">
        <v>4260</v>
      </c>
    </row>
    <row r="15" spans="1:2">
      <c r="A15" s="361">
        <v>13</v>
      </c>
      <c r="B15" s="362" t="s">
        <v>4261</v>
      </c>
    </row>
    <row r="16" spans="1:2">
      <c r="A16" s="361">
        <v>14</v>
      </c>
      <c r="B16" s="362" t="s">
        <v>4262</v>
      </c>
    </row>
    <row r="17" spans="1:2">
      <c r="A17" s="361">
        <v>15</v>
      </c>
      <c r="B17" s="362" t="s">
        <v>4263</v>
      </c>
    </row>
    <row r="18" spans="1:2">
      <c r="A18" s="361">
        <v>16</v>
      </c>
      <c r="B18" s="362" t="s">
        <v>4350</v>
      </c>
    </row>
    <row r="19" spans="1:2">
      <c r="A19" s="361">
        <v>17</v>
      </c>
      <c r="B19" s="362"/>
    </row>
  </sheetData>
  <sheetProtection algorithmName="SHA-512" hashValue="RiJ/YIrysevhJ/7MV5xcZVIJI/RJNCaVaMoC/QNnsOxm/XWu7FSk8qwBG75jGmlMVLRsN1h2SOmR2EeViZy8Ug==" saltValue="gGlB6wpfsHTw7WAkDVhOQg==" spinCount="100000" sheet="1" objects="1" scenarios="1" selectLockedCells="1"/>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E5E-045F-49B4-AEB6-A31D459B0C84}">
  <sheetPr codeName="Sheet13"/>
  <dimension ref="A1:F29"/>
  <sheetViews>
    <sheetView showGridLines="0" zoomScaleNormal="100" workbookViewId="0">
      <selection sqref="A1:XFD1048576"/>
    </sheetView>
  </sheetViews>
  <sheetFormatPr defaultRowHeight="18.75"/>
  <cols>
    <col min="1" max="1" width="20" style="213" customWidth="1"/>
    <col min="2" max="2" width="9.75" style="213" customWidth="1"/>
    <col min="3" max="4" width="10.25" style="213" customWidth="1"/>
    <col min="5" max="16384" width="9" style="213"/>
  </cols>
  <sheetData>
    <row r="1" spans="1:6">
      <c r="A1" s="363" t="str">
        <f>"【挿入先】入力シート（"&amp;基本設定シート!C6+1&amp;"年度提出用）"</f>
        <v>【挿入先】入力シート（2027年度提出用）</v>
      </c>
    </row>
    <row r="2" spans="1:6">
      <c r="A2" s="213" t="str">
        <f>"（参考）"&amp;基本設定シート!C6-1&amp;"年度と"&amp;基本設定シート!C6&amp;"年度のエネルギー使用量比較"</f>
        <v>（参考）2025年度と2026年度のエネルギー使用量比較</v>
      </c>
    </row>
    <row r="3" spans="1:6">
      <c r="A3" s="364" t="s">
        <v>8</v>
      </c>
      <c r="B3" s="364" t="s">
        <v>9</v>
      </c>
      <c r="C3" s="364" t="str">
        <f>基本設定シート!C6-1&amp;"年度"</f>
        <v>2025年度</v>
      </c>
      <c r="D3" s="364" t="str">
        <f>基本設定シート!C6&amp;"年度"</f>
        <v>2026年度</v>
      </c>
    </row>
    <row r="4" spans="1:6">
      <c r="A4" s="365" t="str">
        <f>'入力シート（2027年度提出用）'!E23</f>
        <v>ガソリン</v>
      </c>
      <c r="B4" s="366" t="str">
        <f>'入力シート（2027年度提出用）'!AV23</f>
        <v>リットル</v>
      </c>
      <c r="C4" s="367">
        <f>SUM('入力シート（2026年度提出用）'!AW23:BH23)</f>
        <v>0</v>
      </c>
      <c r="D4" s="367">
        <f>SUM('入力シート（2027年度提出用）'!AW23:BH23)</f>
        <v>0</v>
      </c>
    </row>
    <row r="5" spans="1:6">
      <c r="A5" s="365" t="str">
        <f>'入力シート（2027年度提出用）'!E24</f>
        <v>軽油</v>
      </c>
      <c r="B5" s="366" t="str">
        <f>'入力シート（2027年度提出用）'!AV24</f>
        <v>リットル</v>
      </c>
      <c r="C5" s="367">
        <f>SUM('入力シート（2026年度提出用）'!AW24:BH24)</f>
        <v>0</v>
      </c>
      <c r="D5" s="367">
        <f>SUM('入力シート（2027年度提出用）'!AW24:BH24)</f>
        <v>0</v>
      </c>
    </row>
    <row r="6" spans="1:6">
      <c r="A6" s="365" t="str">
        <f>'入力シート（2027年度提出用）'!E25</f>
        <v>液化石油ガス(LPG)</v>
      </c>
      <c r="B6" s="366" t="str">
        <f>'入力シート（2027年度提出用）'!AV25</f>
        <v>リットル</v>
      </c>
      <c r="C6" s="367">
        <f>SUM('入力シート（2026年度提出用）'!AW25:BH25)</f>
        <v>0</v>
      </c>
      <c r="D6" s="367">
        <f>SUM('入力シート（2027年度提出用）'!AW25:BH25)</f>
        <v>0</v>
      </c>
    </row>
    <row r="7" spans="1:6">
      <c r="A7" s="365" t="str">
        <f>'入力シート（2027年度提出用）'!E26</f>
        <v>電気（充電）</v>
      </c>
      <c r="B7" s="366" t="str">
        <f>'入力シート（2027年度提出用）'!AV26</f>
        <v>kWh</v>
      </c>
      <c r="C7" s="367">
        <f>SUM('入力シート（2026年度提出用）'!AW26:BH26)</f>
        <v>0</v>
      </c>
      <c r="D7" s="367">
        <f>SUM('入力シート（2027年度提出用）'!AW26:BH26)</f>
        <v>0</v>
      </c>
    </row>
    <row r="8" spans="1:6">
      <c r="A8" s="365" t="str">
        <f>'入力シート（2027年度提出用）'!E27</f>
        <v>水素</v>
      </c>
      <c r="B8" s="366" t="str">
        <f>'入力シート（2027年度提出用）'!AV27</f>
        <v>kg</v>
      </c>
      <c r="C8" s="367">
        <f>SUM('入力シート（2026年度提出用）'!AW27:BH27)</f>
        <v>0</v>
      </c>
      <c r="D8" s="367">
        <f>SUM('入力シート（2027年度提出用）'!AW27:BH27)</f>
        <v>0</v>
      </c>
    </row>
    <row r="9" spans="1:6">
      <c r="A9" s="365" t="str">
        <f>IF('入力シート（2027年度提出用）'!AU28&lt;&gt;"",'入力シート（2027年度提出用）'!E28,"")</f>
        <v/>
      </c>
      <c r="B9" s="366" t="str">
        <f>IF('入力シート（2027年度提出用）'!AU28&lt;&gt;"",'入力シート（2027年度提出用）'!AV28,"")</f>
        <v/>
      </c>
      <c r="C9" s="367" t="str">
        <f>IF(AND('入力シート（2027年度提出用）'!AU28='入力シート（2026年度提出用）'!AU28,'入力シート（2027年度提出用）'!AU28&lt;&gt;""),SUM('入力シート（2026年度提出用）'!AW28:BH28),"")</f>
        <v/>
      </c>
      <c r="D9" s="367" t="str">
        <f>IF('入力シート（2027年度提出用）'!AU28&lt;&gt;"",SUM('入力シート（2027年度提出用）'!AW28:BH28),"")</f>
        <v/>
      </c>
      <c r="F9" s="368"/>
    </row>
    <row r="10" spans="1:6">
      <c r="A10" s="213" t="str">
        <f>IF(AND('入力シート（2027年度提出用）'!AU28&lt;&gt;"",'入力シート（2026年度提出用）'!AU28&lt;&gt;"",'入力シート（2027年度提出用）'!AU28&lt;&gt;'入力シート（2026年度提出用）'!AU28),'入力シート（2026年度提出用）'!AU28,"")</f>
        <v/>
      </c>
      <c r="B10" s="213" t="str">
        <f>IF(AND('入力シート（2027年度提出用）'!AU28&lt;&gt;"",'入力シート（2026年度提出用）'!AU28&lt;&gt;"",'入力シート（2027年度提出用）'!AU28&lt;&gt;'入力シート（2026年度提出用）'!AU28),'入力シート（2026年度提出用）'!AV28,"")</f>
        <v/>
      </c>
    </row>
    <row r="11" spans="1:6">
      <c r="A11" s="363" t="str">
        <f>"【挿入先】入力シート（"&amp;基本設定シート!C7+1&amp;"年度提出用）"</f>
        <v>【挿入先】入力シート（2028年度提出用）</v>
      </c>
    </row>
    <row r="12" spans="1:6">
      <c r="A12" s="213" t="str">
        <f>"（参考）"&amp;基本設定シート!C7-1&amp;"年度と"&amp;基本設定シート!C7&amp;"年度のエネルギー使用量比較"</f>
        <v>（参考）2026年度と2027年度のエネルギー使用量比較</v>
      </c>
    </row>
    <row r="13" spans="1:6">
      <c r="A13" s="364" t="s">
        <v>8</v>
      </c>
      <c r="B13" s="364" t="s">
        <v>9</v>
      </c>
      <c r="C13" s="364" t="str">
        <f>基本設定シート!C7-1&amp;"年度"</f>
        <v>2026年度</v>
      </c>
      <c r="D13" s="364" t="str">
        <f>基本設定シート!C7&amp;"年度"</f>
        <v>2027年度</v>
      </c>
    </row>
    <row r="14" spans="1:6">
      <c r="A14" s="365" t="str">
        <f>'入力シート（2028年度提出用）'!E23</f>
        <v>ガソリン</v>
      </c>
      <c r="B14" s="366" t="str">
        <f>'入力シート（2028年度提出用）'!AV23</f>
        <v>リットル</v>
      </c>
      <c r="C14" s="367">
        <f>IF(基本設定シート!$B$11=基本設定シート!$C$6,SUM('入力シート（2027年度提出用）'!AW23:BH23),IF(基本設定シート!$B$11=基本設定シート!$C$7,SUM('入力シート（2026年度提出用）'!AW23:BH23),""))</f>
        <v>0</v>
      </c>
      <c r="D14" s="367">
        <f>SUM('入力シート（2028年度提出用）'!AW23:BH23)</f>
        <v>0</v>
      </c>
    </row>
    <row r="15" spans="1:6">
      <c r="A15" s="365" t="str">
        <f>'入力シート（2028年度提出用）'!E24</f>
        <v>軽油</v>
      </c>
      <c r="B15" s="366" t="str">
        <f>'入力シート（2028年度提出用）'!AV24</f>
        <v>リットル</v>
      </c>
      <c r="C15" s="367">
        <f>IF(基本設定シート!$B$11=基本設定シート!$C$6,SUM('入力シート（2027年度提出用）'!AW24:BH24),IF(基本設定シート!$B$11=基本設定シート!$C$7,SUM('入力シート（2026年度提出用）'!AW24:BH24),""))</f>
        <v>0</v>
      </c>
      <c r="D15" s="367">
        <f>SUM('入力シート（2028年度提出用）'!AW24:BH24)</f>
        <v>0</v>
      </c>
    </row>
    <row r="16" spans="1:6">
      <c r="A16" s="365" t="str">
        <f>'入力シート（2028年度提出用）'!E25</f>
        <v>液化石油ガス(LPG)</v>
      </c>
      <c r="B16" s="366" t="str">
        <f>'入力シート（2028年度提出用）'!AV25</f>
        <v>リットル</v>
      </c>
      <c r="C16" s="367">
        <f>IF(基本設定シート!$B$11=基本設定シート!$C$6,SUM('入力シート（2027年度提出用）'!AW25:BH25),IF(基本設定シート!$B$11=基本設定シート!$C$7,SUM('入力シート（2026年度提出用）'!AW25:BH25),""))</f>
        <v>0</v>
      </c>
      <c r="D16" s="367">
        <f>SUM('入力シート（2028年度提出用）'!AW25:BH25)</f>
        <v>0</v>
      </c>
    </row>
    <row r="17" spans="1:6">
      <c r="A17" s="365" t="str">
        <f>'入力シート（2028年度提出用）'!E26</f>
        <v>電気（充電）</v>
      </c>
      <c r="B17" s="366" t="str">
        <f>'入力シート（2028年度提出用）'!AV26</f>
        <v>kWh</v>
      </c>
      <c r="C17" s="367">
        <f>IF(基本設定シート!$B$11=基本設定シート!$C$6,SUM('入力シート（2027年度提出用）'!AW26:BH26),IF(基本設定シート!$B$11=基本設定シート!$C$7,SUM('入力シート（2026年度提出用）'!AW26:BH26),""))</f>
        <v>0</v>
      </c>
      <c r="D17" s="367">
        <f>SUM('入力シート（2028年度提出用）'!AW26:BH26)</f>
        <v>0</v>
      </c>
    </row>
    <row r="18" spans="1:6">
      <c r="A18" s="365" t="str">
        <f>'入力シート（2028年度提出用）'!E27</f>
        <v>水素</v>
      </c>
      <c r="B18" s="366" t="str">
        <f>'入力シート（2028年度提出用）'!AV27</f>
        <v>kg</v>
      </c>
      <c r="C18" s="367">
        <f>IF(基本設定シート!$B$11=基本設定シート!$C$6,SUM('入力シート（2027年度提出用）'!AW27:BH27),IF(基本設定シート!$B$11=基本設定シート!$C$7,SUM('入力シート（2026年度提出用）'!AW27:BH27),""))</f>
        <v>0</v>
      </c>
      <c r="D18" s="367">
        <f>SUM('入力シート（2028年度提出用）'!AW27:BH27)</f>
        <v>0</v>
      </c>
    </row>
    <row r="19" spans="1:6">
      <c r="A19" s="365" t="str">
        <f>IF('入力シート（2028年度提出用）'!AU28&lt;&gt;"",'入力シート（2028年度提出用）'!E28,"")</f>
        <v/>
      </c>
      <c r="B19" s="366" t="str">
        <f>IF('入力シート（2028年度提出用）'!AU28&lt;&gt;"",'入力シート（2028年度提出用）'!AV28,"")</f>
        <v/>
      </c>
      <c r="C19" s="367" t="str">
        <f>IF(AND(基本設定シート!$B$11=基本設定シート!$C$6,'入力シート（2028年度提出用）'!AU28='入力シート（2027年度提出用）'!AU28,'入力シート（2028年度提出用）'!AU28&lt;&gt;""),SUM('入力シート（2027年度提出用）'!AW28:BH28),IF(AND(基本設定シート!$B$11=基本設定シート!$C$7,'入力シート（2028年度提出用）'!AU28='入力シート（2026年度提出用）'!AU28,'入力シート（2028年度提出用）'!AU28&lt;&gt;""),SUM('入力シート（2026年度提出用）'!AW28:BH28),""))</f>
        <v/>
      </c>
      <c r="D19" s="367" t="str">
        <f>IF('入力シート（2028年度提出用）'!AU28&lt;&gt;"",SUM('入力シート（2028年度提出用）'!AW28:BH28),"")</f>
        <v/>
      </c>
      <c r="F19" s="368"/>
    </row>
    <row r="21" spans="1:6">
      <c r="A21" s="363" t="str">
        <f>"【挿入先】入力シート（"&amp;基本設定シート!C8+1&amp;"年度提出用）"</f>
        <v>【挿入先】入力シート（2029年度提出用）</v>
      </c>
    </row>
    <row r="22" spans="1:6">
      <c r="A22" s="213" t="str">
        <f>"（参考）"&amp;基本設定シート!C8-1&amp;"年度と"&amp;基本設定シート!C8&amp;"年度のエネルギー使用量比較"</f>
        <v>（参考）2027年度と2028年度のエネルギー使用量比較</v>
      </c>
    </row>
    <row r="23" spans="1:6">
      <c r="A23" s="364" t="s">
        <v>8</v>
      </c>
      <c r="B23" s="364" t="s">
        <v>9</v>
      </c>
      <c r="C23" s="364" t="str">
        <f>基本設定シート!C8-1&amp;"年度"</f>
        <v>2027年度</v>
      </c>
      <c r="D23" s="364" t="str">
        <f>基本設定シート!C8&amp;"年度"</f>
        <v>2028年度</v>
      </c>
    </row>
    <row r="24" spans="1:6">
      <c r="A24" s="365" t="str">
        <f>'入力シート（2029年度提出用）'!E23</f>
        <v>ガソリン</v>
      </c>
      <c r="B24" s="366" t="str">
        <f>'入力シート（2029年度提出用）'!AV23</f>
        <v>リットル</v>
      </c>
      <c r="C24" s="367">
        <f>IF(OR(基本設定シート!$B$11=基本設定シート!$C$6,基本設定シート!$B$11=基本設定シート!$C$7),SUM('入力シート（2028年度提出用）'!AW23:BH23),IF(基本設定シート!$B$11=基本設定シート!$C$8,SUM('入力シート（2026年度提出用）'!AW23:BH23),""))</f>
        <v>0</v>
      </c>
      <c r="D24" s="367">
        <f>SUM('入力シート（2029年度提出用）'!AW23:BH23)</f>
        <v>0</v>
      </c>
    </row>
    <row r="25" spans="1:6">
      <c r="A25" s="365" t="str">
        <f>'入力シート（2029年度提出用）'!E24</f>
        <v>軽油</v>
      </c>
      <c r="B25" s="366" t="str">
        <f>'入力シート（2029年度提出用）'!AV24</f>
        <v>リットル</v>
      </c>
      <c r="C25" s="367">
        <f>IF(OR(基本設定シート!$B$11=基本設定シート!$C$6,基本設定シート!$B$11=基本設定シート!$C$7),SUM('入力シート（2028年度提出用）'!AW24:BH24),IF(基本設定シート!$B$11=基本設定シート!$C$8,SUM('入力シート（2026年度提出用）'!AW24:BH24),""))</f>
        <v>0</v>
      </c>
      <c r="D25" s="367">
        <f>SUM('入力シート（2029年度提出用）'!AW24:BH24)</f>
        <v>0</v>
      </c>
    </row>
    <row r="26" spans="1:6">
      <c r="A26" s="365" t="str">
        <f>'入力シート（2029年度提出用）'!E25</f>
        <v>液化石油ガス(LPG)</v>
      </c>
      <c r="B26" s="366" t="str">
        <f>'入力シート（2029年度提出用）'!AV25</f>
        <v>リットル</v>
      </c>
      <c r="C26" s="367">
        <f>IF(OR(基本設定シート!$B$11=基本設定シート!$C$6,基本設定シート!$B$11=基本設定シート!$C$7),SUM('入力シート（2028年度提出用）'!AW25:BH25),IF(基本設定シート!$B$11=基本設定シート!$C$8,SUM('入力シート（2026年度提出用）'!AW25:BH25),""))</f>
        <v>0</v>
      </c>
      <c r="D26" s="367">
        <f>SUM('入力シート（2029年度提出用）'!AW25:BH25)</f>
        <v>0</v>
      </c>
    </row>
    <row r="27" spans="1:6">
      <c r="A27" s="365" t="str">
        <f>'入力シート（2029年度提出用）'!E26</f>
        <v>電気（充電）</v>
      </c>
      <c r="B27" s="366" t="str">
        <f>'入力シート（2029年度提出用）'!AV26</f>
        <v>kWh</v>
      </c>
      <c r="C27" s="367">
        <f>IF(OR(基本設定シート!$B$11=基本設定シート!$C$6,基本設定シート!$B$11=基本設定シート!$C$7),SUM('入力シート（2028年度提出用）'!AW26:BH26),IF(基本設定シート!$B$11=基本設定シート!$C$8,SUM('入力シート（2026年度提出用）'!AW26:BH26),""))</f>
        <v>0</v>
      </c>
      <c r="D27" s="367">
        <f>SUM('入力シート（2029年度提出用）'!AW26:BH26)</f>
        <v>0</v>
      </c>
    </row>
    <row r="28" spans="1:6">
      <c r="A28" s="365" t="str">
        <f>'入力シート（2029年度提出用）'!E27</f>
        <v>水素</v>
      </c>
      <c r="B28" s="366" t="str">
        <f>'入力シート（2029年度提出用）'!AV27</f>
        <v>kg</v>
      </c>
      <c r="C28" s="367">
        <f>IF(OR(基本設定シート!$B$11=基本設定シート!$C$6,基本設定シート!$B$11=基本設定シート!$C$7),SUM('入力シート（2028年度提出用）'!AW27:BH27),IF(基本設定シート!$B$11=基本設定シート!$C$8,SUM('入力シート（2026年度提出用）'!AW27:BH27),""))</f>
        <v>0</v>
      </c>
      <c r="D28" s="367">
        <f>SUM('入力シート（2029年度提出用）'!AW27:BH27)</f>
        <v>0</v>
      </c>
    </row>
    <row r="29" spans="1:6">
      <c r="A29" s="365" t="str">
        <f>IF('入力シート（2029年度提出用）'!AU28&lt;&gt;"",'入力シート（2029年度提出用）'!E28,"")</f>
        <v/>
      </c>
      <c r="B29" s="366" t="str">
        <f>IF('入力シート（2029年度提出用）'!AU28&lt;&gt;"",'入力シート（2029年度提出用）'!AV28,"")</f>
        <v/>
      </c>
      <c r="C29" s="367" t="str">
        <f>IF(AND(OR(基本設定シート!$B$11=基本設定シート!$C$6,基本設定シート!$B$11=基本設定シート!$C$7),'入力シート（2029年度提出用）'!AU28='入力シート（2028年度提出用）'!AU28,'入力シート（2029年度提出用）'!AU28&lt;&gt;""),SUM('入力シート（2028年度提出用）'!AW28:BH28),IF(AND(基本設定シート!$B$11=基本設定シート!$C$8,'入力シート（2029年度提出用）'!AU28='入力シート（2026年度提出用）'!AU28,'入力シート（2029年度提出用）'!AU28&lt;&gt;""),SUM('入力シート（2026年度提出用）'!AW28:BH28),""))</f>
        <v/>
      </c>
      <c r="D29" s="367" t="str">
        <f>IF('入力シート（2029年度提出用）'!AU28&lt;&gt;"",SUM('入力シート（2029年度提出用）'!AW28:BH28),"")</f>
        <v/>
      </c>
      <c r="F29" s="368"/>
    </row>
  </sheetData>
  <sheetProtection algorithmName="SHA-512" hashValue="c/T3WcLuu5wvZ37CqkISlleWvzl/fUETE2m6FUU+6zVFtHJ7lABjQRgV0b/oaB8Dwt/XXM429jTQlnlb+q9GJw==" saltValue="snjGt5GPzhumOjeFGc8UUQ==" spinCount="100000" sheet="1" objects="1" scenarios="1" selectLockedCell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85146-5315-41E0-BD56-F911A74A4E53}">
  <sheetPr codeName="Sheet2">
    <tabColor rgb="FF00B050"/>
    <pageSetUpPr fitToPage="1"/>
  </sheetPr>
  <dimension ref="A1:CG127"/>
  <sheetViews>
    <sheetView showGridLines="0" zoomScale="80" zoomScaleNormal="80" zoomScaleSheetLayoutView="55" zoomScalePageLayoutView="55" workbookViewId="0">
      <pane ySplit="1" topLeftCell="A2" activePane="bottomLeft" state="frozen"/>
      <selection activeCell="F29" sqref="F29:G29"/>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75" t="str">
        <f>IF(基本設定シート!B11=基本設定シート!C6,基本設定シート!C6+1&amp;"年度提出用","このシートは使用しません。")</f>
        <v>2027年度提出用</v>
      </c>
      <c r="B1" s="75"/>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c r="AE1" s="74"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tr">
        <f>"※"&amp;基本設定シート!C7&amp;"年度以降参加の場合は本シートは非表示にしてアップロード"</f>
        <v>※2027年度以降参加の場合は本シートは非表示にしてアップロード</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9" t="s">
        <v>1</v>
      </c>
      <c r="D4" s="459"/>
      <c r="E4" s="459"/>
      <c r="F4" s="14">
        <f>基本設定シート!C6+1</f>
        <v>2027</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3">
        <f ca="1">TODAY()</f>
        <v>46111</v>
      </c>
      <c r="AK4" s="464"/>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基本設定シート!C6+1</f>
        <v>2027</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384" t="s">
        <v>48</v>
      </c>
      <c r="C6" s="384"/>
      <c r="D6" s="384"/>
      <c r="E6" s="384"/>
      <c r="F6" s="16"/>
      <c r="G6" s="16"/>
      <c r="H6" s="13"/>
      <c r="I6" s="13"/>
      <c r="J6" s="13"/>
      <c r="K6" s="13"/>
      <c r="L6" s="13"/>
      <c r="M6" s="13"/>
      <c r="N6" s="384" t="s">
        <v>46</v>
      </c>
      <c r="O6" s="384"/>
      <c r="P6" s="16"/>
      <c r="Q6" s="16"/>
      <c r="R6" s="13"/>
      <c r="S6" s="13"/>
      <c r="T6" s="13"/>
      <c r="U6" s="13"/>
      <c r="V6" s="13"/>
      <c r="W6" s="384" t="s">
        <v>47</v>
      </c>
      <c r="X6" s="384"/>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385" t="s">
        <v>4120</v>
      </c>
      <c r="C8" s="385"/>
      <c r="D8" s="385"/>
      <c r="E8" s="385"/>
      <c r="F8" s="552" t="str">
        <f>IF('入力シート（2026年度提出用）'!F8="","",'入力シート（2026年度提出用）'!F8)</f>
        <v/>
      </c>
      <c r="G8" s="437"/>
      <c r="H8" s="437"/>
      <c r="I8" s="437"/>
      <c r="J8" s="437"/>
      <c r="K8" s="437"/>
      <c r="L8" s="438"/>
      <c r="M8" s="13"/>
      <c r="N8" s="436" t="s">
        <v>4123</v>
      </c>
      <c r="O8" s="436"/>
      <c r="P8" s="437" t="str">
        <f>IF('入力シート（2026年度提出用）'!P8="","",'入力シート（2026年度提出用）'!P8)</f>
        <v/>
      </c>
      <c r="Q8" s="437"/>
      <c r="R8" s="437"/>
      <c r="S8" s="437"/>
      <c r="T8" s="437"/>
      <c r="U8" s="438"/>
      <c r="V8" s="13"/>
      <c r="W8" s="439" t="s">
        <v>4125</v>
      </c>
      <c r="X8" s="394"/>
      <c r="Y8" s="437" t="str">
        <f>IF('入力シート（2026年度提出用）'!Y8="","",'入力シート（2026年度提出用）'!Y8)</f>
        <v/>
      </c>
      <c r="Z8" s="437"/>
      <c r="AA8" s="437"/>
      <c r="AB8" s="437"/>
      <c r="AC8" s="437"/>
      <c r="AD8" s="438"/>
      <c r="AE8" s="29"/>
      <c r="AF8" s="30"/>
      <c r="AG8" s="20"/>
      <c r="AH8" s="20"/>
      <c r="AI8" s="460"/>
      <c r="AJ8" s="460"/>
      <c r="AK8" s="452"/>
      <c r="AL8" s="452"/>
      <c r="AM8" s="452"/>
      <c r="AN8" s="452"/>
      <c r="AO8" s="452"/>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386" t="s">
        <v>4121</v>
      </c>
      <c r="C9" s="387"/>
      <c r="D9" s="387"/>
      <c r="E9" s="388"/>
      <c r="F9" s="466" t="s">
        <v>4228</v>
      </c>
      <c r="G9" s="467"/>
      <c r="H9" s="94" t="str">
        <f>IF('入力シート（2026年度提出用）'!H9="","",'入力シート（2026年度提出用）'!H9)</f>
        <v/>
      </c>
      <c r="I9" s="34" t="s">
        <v>27</v>
      </c>
      <c r="J9" s="95" t="str">
        <f>IF('入力シート（2026年度提出用）'!J9="","",'入力シート（2026年度提出用）'!J9)</f>
        <v/>
      </c>
      <c r="K9" s="1"/>
      <c r="L9" s="1"/>
      <c r="M9" s="13"/>
      <c r="N9" s="385" t="s">
        <v>4124</v>
      </c>
      <c r="O9" s="385"/>
      <c r="P9" s="456" t="s">
        <v>4230</v>
      </c>
      <c r="Q9" s="457"/>
      <c r="R9" s="457" t="s">
        <v>4231</v>
      </c>
      <c r="S9" s="457"/>
      <c r="T9" s="457"/>
      <c r="U9" s="458"/>
      <c r="V9" s="13"/>
      <c r="W9" s="386" t="s">
        <v>4126</v>
      </c>
      <c r="X9" s="388"/>
      <c r="Y9" s="456" t="s">
        <v>4230</v>
      </c>
      <c r="Z9" s="457"/>
      <c r="AA9" s="553" t="s">
        <v>4229</v>
      </c>
      <c r="AB9" s="553"/>
      <c r="AC9" s="457" t="s">
        <v>4226</v>
      </c>
      <c r="AD9" s="458"/>
      <c r="AE9" s="13"/>
      <c r="AF9" s="20"/>
      <c r="AG9" s="7">
        <f>'入力シート（2026年度提出用）'!AG9</f>
        <v>0</v>
      </c>
      <c r="AH9" s="7">
        <f>'入力シート（2026年度提出用）'!AH9</f>
        <v>0</v>
      </c>
      <c r="AI9" s="460"/>
      <c r="AJ9" s="460"/>
      <c r="AK9" s="452"/>
      <c r="AL9" s="452"/>
      <c r="AM9" s="452"/>
      <c r="AN9" s="452"/>
      <c r="AO9" s="452"/>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46"/>
      <c r="C10" s="465"/>
      <c r="D10" s="465"/>
      <c r="E10" s="447"/>
      <c r="F10" s="437" t="str">
        <f>IF('入力シート（2026年度提出用）'!F10="","",'入力シート（2026年度提出用）'!F10)</f>
        <v/>
      </c>
      <c r="G10" s="437"/>
      <c r="H10" s="437"/>
      <c r="I10" s="437"/>
      <c r="J10" s="437"/>
      <c r="K10" s="437"/>
      <c r="L10" s="438"/>
      <c r="M10" s="13"/>
      <c r="N10" s="431"/>
      <c r="O10" s="431"/>
      <c r="P10" s="29" t="s">
        <v>34</v>
      </c>
      <c r="Q10" s="99" t="str">
        <f>IF(AG9='入力シート（2026年度提出用）'!AG9,'入力シート（2026年度提出用）'!Q10,IF(AG9=1,H9,""))</f>
        <v/>
      </c>
      <c r="R10" s="98" t="s">
        <v>27</v>
      </c>
      <c r="S10" s="100" t="str">
        <f>IF(AG9='入力シート（2026年度提出用）'!AG9,'入力シート（2026年度提出用）'!S10,IF(AG9=1,J9,""))</f>
        <v/>
      </c>
      <c r="T10" s="13"/>
      <c r="U10" s="13"/>
      <c r="V10" s="13"/>
      <c r="W10" s="461"/>
      <c r="X10" s="462"/>
      <c r="Y10" s="29" t="s">
        <v>34</v>
      </c>
      <c r="Z10" s="99" t="str">
        <f>IF(AH9='入力シート（2026年度提出用）'!AH9,'入力シート（2026年度提出用）'!Z10,IF(AH9=1,H9,IF(AH9=2,Q10,"")))</f>
        <v/>
      </c>
      <c r="AA10" s="98" t="s">
        <v>27</v>
      </c>
      <c r="AB10" s="100" t="str">
        <f>IF(AH9='入力シート（2026年度提出用）'!AH9,'入力シート（2026年度提出用）'!AB10,IF(AH9=1,J9,IF(AH9=2,S10,"")))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389" t="s">
        <v>4122</v>
      </c>
      <c r="C11" s="389"/>
      <c r="D11" s="389"/>
      <c r="E11" s="389"/>
      <c r="F11" s="552" t="str">
        <f>IF('入力シート（2026年度提出用）'!F11="","",'入力シート（2026年度提出用）'!F11)</f>
        <v/>
      </c>
      <c r="G11" s="437"/>
      <c r="H11" s="437"/>
      <c r="I11" s="437"/>
      <c r="J11" s="437"/>
      <c r="K11" s="437"/>
      <c r="L11" s="438"/>
      <c r="M11" s="13"/>
      <c r="N11" s="446"/>
      <c r="O11" s="447"/>
      <c r="P11" s="437" t="str">
        <f>IF(AG9='入力シート（2026年度提出用）'!AG9,'入力シート（2026年度提出用）'!P11,IF(AG9=1,F10,""))</f>
        <v/>
      </c>
      <c r="Q11" s="437"/>
      <c r="R11" s="437"/>
      <c r="S11" s="437"/>
      <c r="T11" s="437"/>
      <c r="U11" s="438"/>
      <c r="V11" s="13"/>
      <c r="W11" s="446"/>
      <c r="X11" s="447"/>
      <c r="Y11" s="437" t="str">
        <f>IF(AH9='入力シート（2026年度提出用）'!AH9,'入力シート（2026年度提出用）'!Y11,IF(AH9=1,F10,IF(AH9=2,P11,"")))</f>
        <v/>
      </c>
      <c r="Z11" s="437"/>
      <c r="AA11" s="437"/>
      <c r="AB11" s="437"/>
      <c r="AC11" s="437"/>
      <c r="AD11" s="438"/>
      <c r="AE11" s="29"/>
      <c r="AF11" s="30"/>
      <c r="AG11" s="20"/>
    </row>
    <row r="12" spans="1:85" ht="27.95" customHeight="1">
      <c r="A12" s="13"/>
      <c r="B12" s="13"/>
      <c r="C12" s="13"/>
      <c r="D12" s="13"/>
      <c r="E12" s="15"/>
      <c r="F12" s="13"/>
      <c r="G12" s="13"/>
      <c r="H12" s="13"/>
      <c r="I12" s="13"/>
      <c r="J12" s="13"/>
      <c r="K12" s="13"/>
      <c r="L12" s="13"/>
      <c r="M12" s="13"/>
      <c r="N12" s="436" t="s">
        <v>4235</v>
      </c>
      <c r="O12" s="436"/>
      <c r="P12" s="541" t="str">
        <f>IF('入力シート（2026年度提出用）'!P12="","",'入力シート（2026年度提出用）'!P12)</f>
        <v/>
      </c>
      <c r="Q12" s="541"/>
      <c r="R12" s="541"/>
      <c r="S12" s="541"/>
      <c r="T12" s="541"/>
      <c r="U12" s="541"/>
      <c r="V12" s="13"/>
      <c r="W12" s="439" t="s">
        <v>4127</v>
      </c>
      <c r="X12" s="394"/>
      <c r="Y12" s="552" t="str">
        <f>IF('入力シート（2026年度提出用）'!Y12="","",'入力シート（2026年度提出用）'!Y12)</f>
        <v/>
      </c>
      <c r="Z12" s="437"/>
      <c r="AA12" s="437"/>
      <c r="AB12" s="437"/>
      <c r="AC12" s="437"/>
      <c r="AD12" s="438"/>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39" t="s">
        <v>4128</v>
      </c>
      <c r="X13" s="394"/>
      <c r="Y13" s="549" t="str">
        <f>IF('入力シート（2026年度提出用）'!Y13="","",'入力シート（2026年度提出用）'!Y13)</f>
        <v/>
      </c>
      <c r="Z13" s="550"/>
      <c r="AA13" s="550"/>
      <c r="AB13" s="550"/>
      <c r="AC13" s="550"/>
      <c r="AD13" s="551"/>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39" t="s">
        <v>4129</v>
      </c>
      <c r="X14" s="394"/>
      <c r="Y14" s="552" t="str">
        <f>IF('入力シート（2026年度提出用）'!Y14="","",'入力シート（2026年度提出用）'!Y14)</f>
        <v/>
      </c>
      <c r="Z14" s="437"/>
      <c r="AA14" s="437"/>
      <c r="AB14" s="437"/>
      <c r="AC14" s="437"/>
      <c r="AD14" s="438"/>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"◆エネルギー使用実績等（"&amp;基本設定シート!C6&amp;"年度実績）"</f>
        <v>◆エネルギー使用実績等（2026年度実績）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384" t="s">
        <v>2</v>
      </c>
      <c r="C18" s="384"/>
      <c r="D18" s="384"/>
      <c r="E18" s="384"/>
      <c r="F18" s="384"/>
      <c r="G18" s="384"/>
      <c r="H18" s="13"/>
      <c r="I18" s="13"/>
      <c r="J18" s="13"/>
      <c r="K18" s="13"/>
      <c r="L18" s="13"/>
      <c r="M18" s="13"/>
      <c r="N18" s="13"/>
      <c r="O18" s="13"/>
      <c r="P18" s="13"/>
      <c r="Q18" s="13"/>
      <c r="R18" s="13"/>
      <c r="S18" s="13"/>
      <c r="T18" s="13"/>
      <c r="U18" s="13"/>
      <c r="V18" s="13"/>
      <c r="W18" s="13"/>
      <c r="X18" s="13"/>
      <c r="Y18" s="13"/>
      <c r="Z18" s="13"/>
      <c r="AA18" s="548" t="str">
        <f>HYPERLINK("#CG17","【任意】使用料金表はこちら→")</f>
        <v>【任意】使用料金表はこちら→</v>
      </c>
      <c r="AB18" s="479"/>
      <c r="AC18" s="479"/>
      <c r="AD18" s="479"/>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25" t="s">
        <v>4112</v>
      </c>
      <c r="BQ18" s="426"/>
      <c r="BR18" s="427"/>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02" t="s">
        <v>8</v>
      </c>
      <c r="C20" s="403"/>
      <c r="D20" s="403"/>
      <c r="E20" s="403"/>
      <c r="F20" s="403"/>
      <c r="G20" s="403"/>
      <c r="H20" s="403"/>
      <c r="I20" s="404"/>
      <c r="J20" s="443" t="s">
        <v>30</v>
      </c>
      <c r="K20" s="444"/>
      <c r="L20" s="444"/>
      <c r="M20" s="444"/>
      <c r="N20" s="444"/>
      <c r="O20" s="444"/>
      <c r="P20" s="444"/>
      <c r="Q20" s="444"/>
      <c r="R20" s="444"/>
      <c r="S20" s="444"/>
      <c r="T20" s="444"/>
      <c r="U20" s="444"/>
      <c r="V20" s="444"/>
      <c r="W20" s="445"/>
      <c r="X20" s="451" t="s">
        <v>4233</v>
      </c>
      <c r="Y20" s="404"/>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02"/>
      <c r="BQ20" s="403"/>
      <c r="BR20" s="404"/>
      <c r="BS20" s="450" t="s">
        <v>4112</v>
      </c>
      <c r="BT20" s="450"/>
      <c r="BU20" s="450"/>
      <c r="BV20" s="450"/>
      <c r="BW20" s="450"/>
      <c r="BX20" s="450"/>
      <c r="BY20" s="450"/>
      <c r="BZ20" s="450"/>
      <c r="CA20" s="450"/>
      <c r="CB20" s="450"/>
      <c r="CC20" s="450"/>
      <c r="CD20" s="450"/>
      <c r="CE20" s="450"/>
      <c r="CF20" s="450"/>
      <c r="CG20" s="13"/>
    </row>
    <row r="21" spans="1:85" ht="30" customHeight="1">
      <c r="A21" s="13"/>
      <c r="B21" s="405"/>
      <c r="C21" s="406"/>
      <c r="D21" s="406"/>
      <c r="E21" s="406"/>
      <c r="F21" s="406"/>
      <c r="G21" s="406"/>
      <c r="H21" s="406"/>
      <c r="I21" s="407"/>
      <c r="J21" s="450" t="s">
        <v>9</v>
      </c>
      <c r="K21" s="450" t="str">
        <f>基本設定シート!$C$6&amp;"年"</f>
        <v>2026年</v>
      </c>
      <c r="L21" s="450"/>
      <c r="M21" s="450"/>
      <c r="N21" s="450"/>
      <c r="O21" s="450"/>
      <c r="P21" s="450"/>
      <c r="Q21" s="450"/>
      <c r="R21" s="450"/>
      <c r="S21" s="450"/>
      <c r="T21" s="450" t="str">
        <f>基本設定シート!$C$6+1&amp;"年"</f>
        <v>2027年</v>
      </c>
      <c r="U21" s="450"/>
      <c r="V21" s="450"/>
      <c r="W21" s="448" t="s">
        <v>23</v>
      </c>
      <c r="X21" s="405"/>
      <c r="Y21" s="407"/>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05"/>
      <c r="BQ21" s="406"/>
      <c r="BR21" s="407"/>
      <c r="BS21" s="448" t="s">
        <v>9</v>
      </c>
      <c r="BT21" s="450" t="str">
        <f>基本設定シート!$C$6&amp;"年"</f>
        <v>2026年</v>
      </c>
      <c r="BU21" s="450"/>
      <c r="BV21" s="450"/>
      <c r="BW21" s="450"/>
      <c r="BX21" s="450"/>
      <c r="BY21" s="450"/>
      <c r="BZ21" s="450"/>
      <c r="CA21" s="450"/>
      <c r="CB21" s="450"/>
      <c r="CC21" s="450" t="str">
        <f>基本設定シート!$C$6+1&amp;"年"</f>
        <v>2027年</v>
      </c>
      <c r="CD21" s="450"/>
      <c r="CE21" s="450"/>
      <c r="CF21" s="448" t="s">
        <v>23</v>
      </c>
      <c r="CG21" s="13"/>
    </row>
    <row r="22" spans="1:85" ht="30" customHeight="1">
      <c r="A22" s="13"/>
      <c r="B22" s="408"/>
      <c r="C22" s="409"/>
      <c r="D22" s="409"/>
      <c r="E22" s="409"/>
      <c r="F22" s="409"/>
      <c r="G22" s="409"/>
      <c r="H22" s="409"/>
      <c r="I22" s="410"/>
      <c r="J22" s="450"/>
      <c r="K22" s="91" t="s">
        <v>10</v>
      </c>
      <c r="L22" s="91" t="s">
        <v>11</v>
      </c>
      <c r="M22" s="91" t="s">
        <v>12</v>
      </c>
      <c r="N22" s="91" t="s">
        <v>13</v>
      </c>
      <c r="O22" s="91" t="s">
        <v>14</v>
      </c>
      <c r="P22" s="91" t="s">
        <v>15</v>
      </c>
      <c r="Q22" s="91" t="s">
        <v>16</v>
      </c>
      <c r="R22" s="91" t="s">
        <v>17</v>
      </c>
      <c r="S22" s="91" t="s">
        <v>18</v>
      </c>
      <c r="T22" s="91" t="s">
        <v>19</v>
      </c>
      <c r="U22" s="91" t="s">
        <v>20</v>
      </c>
      <c r="V22" s="91" t="s">
        <v>21</v>
      </c>
      <c r="W22" s="449"/>
      <c r="X22" s="408"/>
      <c r="Y22" s="410"/>
      <c r="Z22" s="13"/>
      <c r="AA22" s="13"/>
      <c r="AB22" s="13"/>
      <c r="AC22" s="13"/>
      <c r="AD22" s="13"/>
      <c r="AE22" s="29"/>
      <c r="AF22" s="30"/>
      <c r="AG22" s="20"/>
      <c r="AH22" s="20"/>
      <c r="AI22" s="398" t="s">
        <v>4079</v>
      </c>
      <c r="AJ22" s="398"/>
      <c r="AK22" s="383" t="s">
        <v>4082</v>
      </c>
      <c r="AL22" s="383"/>
      <c r="AM22" s="383" t="s">
        <v>4080</v>
      </c>
      <c r="AN22" s="383"/>
      <c r="AO22" s="542" t="s">
        <v>3</v>
      </c>
      <c r="AP22" s="542"/>
      <c r="AQ22" s="542"/>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383" t="s">
        <v>4110</v>
      </c>
      <c r="BJ22" s="383"/>
      <c r="BK22" s="383" t="s">
        <v>28</v>
      </c>
      <c r="BL22" s="383"/>
      <c r="BM22" s="20"/>
      <c r="BN22" s="20"/>
      <c r="BO22" s="13"/>
      <c r="BP22" s="408"/>
      <c r="BQ22" s="409"/>
      <c r="BR22" s="410"/>
      <c r="BS22" s="449"/>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49"/>
      <c r="CG22" s="13"/>
    </row>
    <row r="23" spans="1:85" ht="30" customHeight="1">
      <c r="A23" s="13"/>
      <c r="B23" s="533" t="s">
        <v>4275</v>
      </c>
      <c r="C23" s="534"/>
      <c r="D23" s="103"/>
      <c r="E23" s="394" t="str">
        <f>'係数（車両用）'!O6</f>
        <v>ガソリン</v>
      </c>
      <c r="F23" s="436"/>
      <c r="G23" s="436"/>
      <c r="H23" s="436"/>
      <c r="I23" s="436"/>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3" t="str">
        <f>"t-CO2/"&amp;AJ23</f>
        <v>t-CO2/kl</v>
      </c>
      <c r="AQ23" s="424"/>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3"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35"/>
      <c r="C24" s="536"/>
      <c r="D24" s="103"/>
      <c r="E24" s="394" t="str">
        <f>'係数（車両用）'!O10</f>
        <v>軽油</v>
      </c>
      <c r="F24" s="436"/>
      <c r="G24" s="436"/>
      <c r="H24" s="436"/>
      <c r="I24" s="436"/>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3" t="str">
        <f>"t-CO2/"&amp;AJ24</f>
        <v>t-CO2/kl</v>
      </c>
      <c r="AQ24" s="424"/>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4"/>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35"/>
      <c r="C25" s="536"/>
      <c r="D25" s="103"/>
      <c r="E25" s="394" t="str">
        <f>'係数（車両用）'!O15</f>
        <v>液化石油ガス(LPG)</v>
      </c>
      <c r="F25" s="436"/>
      <c r="G25" s="436"/>
      <c r="H25" s="436"/>
      <c r="I25" s="436"/>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3" t="str">
        <f t="shared" ref="AP25:AP28" si="4">"t-CO2/"&amp;AJ25</f>
        <v>t-CO2/t</v>
      </c>
      <c r="AQ25" s="424"/>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4"/>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35"/>
      <c r="C26" s="536"/>
      <c r="D26" s="103"/>
      <c r="E26" s="393" t="str">
        <f>'係数（車両用）'!O62</f>
        <v>電気（充電）</v>
      </c>
      <c r="F26" s="393"/>
      <c r="G26" s="393"/>
      <c r="H26" s="393"/>
      <c r="I26" s="394"/>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32" t="str">
        <f>"t-CO2/"&amp;AJ26</f>
        <v>t-CO2/千kWh</v>
      </c>
      <c r="AQ26" s="433"/>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4"/>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35"/>
      <c r="C27" s="536"/>
      <c r="D27" s="103"/>
      <c r="E27" s="394" t="str">
        <f>'係数（車両用）'!O48</f>
        <v>水素</v>
      </c>
      <c r="F27" s="436"/>
      <c r="G27" s="436"/>
      <c r="H27" s="436"/>
      <c r="I27" s="436"/>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3" t="str">
        <f t="shared" si="4"/>
        <v>t-CO2/t</v>
      </c>
      <c r="AQ27" s="424"/>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4"/>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35"/>
      <c r="C28" s="536"/>
      <c r="D28" s="113"/>
      <c r="E28" s="546" t="str">
        <f>IF('入力シート（2026年度提出用）'!E28="","上記以外のエネルギー（選択）",'入力シート（2026年度提出用）'!E28)</f>
        <v>上記以外のエネルギー（選択）</v>
      </c>
      <c r="F28" s="547"/>
      <c r="G28" s="547"/>
      <c r="H28" s="547"/>
      <c r="I28" s="547"/>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3" t="str">
        <f t="shared" si="4"/>
        <v>t-CO2/</v>
      </c>
      <c r="AQ28" s="424"/>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4"/>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37"/>
      <c r="C29" s="538"/>
      <c r="D29" s="411" t="s">
        <v>23</v>
      </c>
      <c r="E29" s="411"/>
      <c r="F29" s="411"/>
      <c r="G29" s="411"/>
      <c r="H29" s="411"/>
      <c r="I29" s="411"/>
      <c r="J29" s="411"/>
      <c r="K29" s="411"/>
      <c r="L29" s="411"/>
      <c r="M29" s="411"/>
      <c r="N29" s="411"/>
      <c r="O29" s="411"/>
      <c r="P29" s="411"/>
      <c r="Q29" s="411"/>
      <c r="R29" s="411"/>
      <c r="S29" s="411"/>
      <c r="T29" s="411"/>
      <c r="U29" s="411"/>
      <c r="V29" s="411"/>
      <c r="W29" s="412"/>
      <c r="X29" s="105" t="str">
        <f>IF(SUM(W23:W28)=0,"",ROUNDDOWN(SUM(X23:X28),1))</f>
        <v/>
      </c>
      <c r="Y29" s="106" t="s">
        <v>29</v>
      </c>
      <c r="Z29" s="13"/>
      <c r="AA29" s="16"/>
      <c r="AB29" s="16"/>
      <c r="AC29" s="16"/>
      <c r="AD29" s="16"/>
      <c r="AE29" s="13"/>
      <c r="AF29" s="20"/>
      <c r="AG29" s="20"/>
      <c r="AH29" s="20"/>
      <c r="AI29" s="115"/>
      <c r="AJ29" s="70"/>
      <c r="AK29" s="116"/>
      <c r="AL29" s="70"/>
      <c r="AM29" s="116"/>
      <c r="AN29" s="70"/>
      <c r="AO29" s="117"/>
      <c r="AP29" s="423"/>
      <c r="AQ29" s="512"/>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5"/>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507" t="s">
        <v>4276</v>
      </c>
      <c r="C30" s="508"/>
      <c r="D30" s="27"/>
      <c r="E30" s="393" t="str">
        <f>'係数（事業所用）'!O62</f>
        <v>電気</v>
      </c>
      <c r="F30" s="393"/>
      <c r="G30" s="393"/>
      <c r="H30" s="393"/>
      <c r="I30" s="394"/>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3" t="str">
        <f>"t-CO2/"&amp;AJ30</f>
        <v>t-CO2/千kWh</v>
      </c>
      <c r="AQ30" s="424"/>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21"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509"/>
      <c r="C31" s="510"/>
      <c r="D31" s="27"/>
      <c r="E31" s="393" t="str">
        <f>'係数（事業所用）'!O31</f>
        <v>都市ガス</v>
      </c>
      <c r="F31" s="393"/>
      <c r="G31" s="393"/>
      <c r="H31" s="393"/>
      <c r="I31" s="394"/>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3" t="str">
        <f>"t-CO2/"&amp;AJ31</f>
        <v>t-CO2/千m3</v>
      </c>
      <c r="AQ31" s="424"/>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22"/>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509"/>
      <c r="C32" s="510"/>
      <c r="D32" s="27"/>
      <c r="E32" s="393" t="str">
        <f>'係数（事業所用）'!O15</f>
        <v>プロパンガス</v>
      </c>
      <c r="F32" s="393"/>
      <c r="G32" s="393"/>
      <c r="H32" s="393"/>
      <c r="I32" s="394"/>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3" t="str">
        <f>"t-CO2/"&amp;AJ32</f>
        <v>t-CO2/t</v>
      </c>
      <c r="AQ32" s="424"/>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22"/>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509"/>
      <c r="C33" s="510"/>
      <c r="D33" s="27"/>
      <c r="E33" s="393" t="str">
        <f>'係数（事業所用）'!O9</f>
        <v>灯油</v>
      </c>
      <c r="F33" s="393"/>
      <c r="G33" s="393"/>
      <c r="H33" s="393"/>
      <c r="I33" s="394"/>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3" t="str">
        <f>"t-CO2/"&amp;AJ33</f>
        <v>t-CO2/kl</v>
      </c>
      <c r="AQ33" s="424"/>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22"/>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509"/>
      <c r="C34" s="510"/>
      <c r="D34" s="114"/>
      <c r="E34" s="531" t="str">
        <f>IF('入力シート（2026年度提出用）'!E34="","上記以外のエネルギー（選択）",'入力シート（2026年度提出用）'!E34)</f>
        <v>上記以外のエネルギー（選択）</v>
      </c>
      <c r="F34" s="531"/>
      <c r="G34" s="531"/>
      <c r="H34" s="531"/>
      <c r="I34" s="532"/>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3" t="str">
        <f t="shared" ref="AP34" si="43">"t-CO2/"&amp;AJ34</f>
        <v>t-CO2/</v>
      </c>
      <c r="AQ34" s="424"/>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22"/>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96"/>
      <c r="C35" s="511"/>
      <c r="D35" s="499" t="s">
        <v>23</v>
      </c>
      <c r="E35" s="499"/>
      <c r="F35" s="499"/>
      <c r="G35" s="499"/>
      <c r="H35" s="499"/>
      <c r="I35" s="499"/>
      <c r="J35" s="499"/>
      <c r="K35" s="499"/>
      <c r="L35" s="499"/>
      <c r="M35" s="499"/>
      <c r="N35" s="499"/>
      <c r="O35" s="499"/>
      <c r="P35" s="499"/>
      <c r="Q35" s="499"/>
      <c r="R35" s="499"/>
      <c r="S35" s="499"/>
      <c r="T35" s="499"/>
      <c r="U35" s="499"/>
      <c r="V35" s="499"/>
      <c r="W35" s="500"/>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23"/>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25" t="str">
        <f>"車両台数（"&amp;基本設定シート!C6&amp;"年度）"</f>
        <v>車両台数（2026年度）</v>
      </c>
      <c r="C37" s="426"/>
      <c r="D37" s="426"/>
      <c r="E37" s="426"/>
      <c r="F37" s="426"/>
      <c r="G37" s="427"/>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450" t="s">
        <v>4289</v>
      </c>
      <c r="C39" s="450"/>
      <c r="D39" s="450"/>
      <c r="E39" s="450"/>
      <c r="F39" s="450" t="s">
        <v>4290</v>
      </c>
      <c r="G39" s="450"/>
      <c r="H39" s="450" t="s">
        <v>4294</v>
      </c>
      <c r="I39" s="450"/>
      <c r="J39" s="450"/>
      <c r="K39" s="450"/>
      <c r="L39" s="450"/>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481" t="s">
        <v>4296</v>
      </c>
      <c r="C40" s="481"/>
      <c r="D40" s="481"/>
      <c r="E40" s="481"/>
      <c r="F40" s="483"/>
      <c r="G40" s="484"/>
      <c r="H40" s="518" t="s">
        <v>4293</v>
      </c>
      <c r="I40" s="518"/>
      <c r="J40" s="518"/>
      <c r="K40" s="518"/>
      <c r="L40" s="51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481"/>
      <c r="C41" s="481"/>
      <c r="D41" s="481"/>
      <c r="E41" s="481"/>
      <c r="F41" s="485"/>
      <c r="G41" s="486"/>
      <c r="H41" s="519" t="s">
        <v>4292</v>
      </c>
      <c r="I41" s="519"/>
      <c r="J41" s="519"/>
      <c r="K41" s="519"/>
      <c r="L41" s="51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481"/>
      <c r="C42" s="481"/>
      <c r="D42" s="481"/>
      <c r="E42" s="481"/>
      <c r="F42" s="487"/>
      <c r="G42" s="488"/>
      <c r="H42" s="519" t="s">
        <v>4291</v>
      </c>
      <c r="I42" s="519"/>
      <c r="J42" s="519"/>
      <c r="K42" s="519"/>
      <c r="L42" s="51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481" t="s">
        <v>4297</v>
      </c>
      <c r="C43" s="481"/>
      <c r="D43" s="481"/>
      <c r="E43" s="481"/>
      <c r="F43" s="483"/>
      <c r="G43" s="484"/>
      <c r="H43" s="518" t="s">
        <v>4293</v>
      </c>
      <c r="I43" s="518"/>
      <c r="J43" s="518"/>
      <c r="K43" s="518"/>
      <c r="L43" s="51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481"/>
      <c r="C44" s="481"/>
      <c r="D44" s="481"/>
      <c r="E44" s="481"/>
      <c r="F44" s="485"/>
      <c r="G44" s="486"/>
      <c r="H44" s="519" t="s">
        <v>4292</v>
      </c>
      <c r="I44" s="519"/>
      <c r="J44" s="519"/>
      <c r="K44" s="519"/>
      <c r="L44" s="51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481"/>
      <c r="C45" s="481"/>
      <c r="D45" s="481"/>
      <c r="E45" s="481"/>
      <c r="F45" s="487"/>
      <c r="G45" s="488"/>
      <c r="H45" s="519" t="s">
        <v>4291</v>
      </c>
      <c r="I45" s="519"/>
      <c r="J45" s="519"/>
      <c r="K45" s="519"/>
      <c r="L45" s="51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481" t="s">
        <v>4298</v>
      </c>
      <c r="C46" s="481"/>
      <c r="D46" s="481"/>
      <c r="E46" s="481"/>
      <c r="F46" s="483"/>
      <c r="G46" s="484"/>
      <c r="H46" s="518" t="s">
        <v>4293</v>
      </c>
      <c r="I46" s="518"/>
      <c r="J46" s="518"/>
      <c r="K46" s="518"/>
      <c r="L46" s="51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482"/>
      <c r="C47" s="482"/>
      <c r="D47" s="482"/>
      <c r="E47" s="482"/>
      <c r="F47" s="489"/>
      <c r="G47" s="490"/>
      <c r="H47" s="520" t="s">
        <v>4292</v>
      </c>
      <c r="I47" s="520"/>
      <c r="J47" s="520"/>
      <c r="K47" s="520"/>
      <c r="L47" s="52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66" t="s">
        <v>23</v>
      </c>
      <c r="C48" s="566"/>
      <c r="D48" s="566"/>
      <c r="E48" s="566"/>
      <c r="F48" s="567" t="str">
        <f>IF(COUNTBLANK(F40:G47)=16,"",SUM(F40:G47))</f>
        <v/>
      </c>
      <c r="G48" s="568"/>
      <c r="H48" s="566" t="s">
        <v>23</v>
      </c>
      <c r="I48" s="566"/>
      <c r="J48" s="566"/>
      <c r="K48" s="566"/>
      <c r="L48" s="566"/>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384" t="s">
        <v>4134</v>
      </c>
      <c r="C50" s="384"/>
      <c r="D50" s="384"/>
      <c r="E50" s="384"/>
      <c r="F50" s="384"/>
      <c r="G50" s="384"/>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54" t="s">
        <v>4135</v>
      </c>
      <c r="C52" s="555"/>
      <c r="D52" s="556"/>
      <c r="E52" s="519" t="str">
        <f>基本設定シート!$C$6&amp;"年度 温室効果ガス排出量の削減目標"</f>
        <v>2026年度 温室効果ガス排出量の削減目標</v>
      </c>
      <c r="F52" s="519"/>
      <c r="G52" s="519"/>
      <c r="H52" s="519"/>
      <c r="I52" s="519"/>
      <c r="J52" s="524" t="str">
        <f>IF('入力シート（2026年度提出用）'!M61="","",'入力シート（2026年度提出用）'!M61)</f>
        <v/>
      </c>
      <c r="K52" s="525"/>
      <c r="L52" s="63" t="s">
        <v>4083</v>
      </c>
      <c r="M52" s="13"/>
      <c r="N52" s="530" t="s">
        <v>4136</v>
      </c>
      <c r="O52" s="519" t="str">
        <f>基本設定シート!$C$6&amp;"年度 温室効果ガス排出量の削減実績"</f>
        <v>2026年度 温室効果ガス排出量の削減実績</v>
      </c>
      <c r="P52" s="519"/>
      <c r="Q52" s="519"/>
      <c r="R52" s="519"/>
      <c r="S52" s="519"/>
      <c r="T52" s="528" t="str">
        <f>IFERROR((AJ52-T53)/AJ52*100,"")</f>
        <v/>
      </c>
      <c r="U52" s="529"/>
      <c r="V52" s="63" t="str">
        <f>IF(T52&lt;0,"%増加","%削減")</f>
        <v>%削減</v>
      </c>
      <c r="W52" s="13"/>
      <c r="X52" s="13"/>
      <c r="Y52" s="13"/>
      <c r="Z52" s="13"/>
      <c r="AA52" s="13"/>
      <c r="AB52" s="13"/>
      <c r="AC52" s="13"/>
      <c r="AD52" s="13"/>
      <c r="AE52" s="13"/>
      <c r="AF52" s="20"/>
      <c r="AG52" s="20"/>
      <c r="AH52" s="20"/>
      <c r="AI52" s="78" t="s">
        <v>4138</v>
      </c>
      <c r="AJ52" s="79" t="str">
        <f>'入力シート（2026年度提出用）'!X29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57"/>
      <c r="C53" s="558"/>
      <c r="D53" s="559"/>
      <c r="E53" s="519" t="str">
        <f>基本設定シート!$C$6&amp;"年度 目標排出量"</f>
        <v>2026年度 目標排出量</v>
      </c>
      <c r="F53" s="519"/>
      <c r="G53" s="519"/>
      <c r="H53" s="519"/>
      <c r="I53" s="519"/>
      <c r="J53" s="526" t="str">
        <f>'入力シート（2026年度提出用）'!AB61</f>
        <v/>
      </c>
      <c r="K53" s="527"/>
      <c r="L53" s="63" t="s">
        <v>29</v>
      </c>
      <c r="M53" s="13"/>
      <c r="N53" s="530"/>
      <c r="O53" s="519" t="str">
        <f>基本設定シート!$C$6&amp;"年度 排出量"</f>
        <v>2026年度 排出量</v>
      </c>
      <c r="P53" s="519"/>
      <c r="Q53" s="519"/>
      <c r="R53" s="519"/>
      <c r="S53" s="519"/>
      <c r="T53" s="526" t="str">
        <f>X29</f>
        <v/>
      </c>
      <c r="U53" s="527"/>
      <c r="V53" s="63" t="s">
        <v>29</v>
      </c>
      <c r="W53" s="13"/>
      <c r="X53" s="13"/>
      <c r="Y53" s="13"/>
      <c r="Z53" s="13"/>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60" t="s">
        <v>4137</v>
      </c>
      <c r="C55" s="561"/>
      <c r="D55" s="561"/>
      <c r="E55" s="562"/>
      <c r="F55" s="563" t="s">
        <v>4299</v>
      </c>
      <c r="G55" s="564"/>
      <c r="H55" s="564"/>
      <c r="I55" s="564"/>
      <c r="J55" s="564"/>
      <c r="K55" s="564"/>
      <c r="L55" s="564"/>
      <c r="M55" s="564"/>
      <c r="N55" s="564"/>
      <c r="O55" s="564"/>
      <c r="P55" s="564"/>
      <c r="Q55" s="564"/>
      <c r="R55" s="564"/>
      <c r="S55" s="564"/>
      <c r="T55" s="564"/>
      <c r="U55" s="564"/>
      <c r="V55" s="565"/>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384" t="s">
        <v>4224</v>
      </c>
      <c r="C59" s="384"/>
      <c r="D59" s="384"/>
      <c r="E59" s="384"/>
      <c r="F59" s="384"/>
      <c r="G59" s="38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421" t="str">
        <f>基本設定シート!C6+1&amp;"年度 温室効果ガス排出量の削減目標"</f>
        <v>2027年度 温室効果ガス排出量の削減目標</v>
      </c>
      <c r="D61" s="421"/>
      <c r="E61" s="421"/>
      <c r="F61" s="421"/>
      <c r="G61" s="421"/>
      <c r="H61" s="421"/>
      <c r="I61" s="422"/>
      <c r="J61" s="417" t="str">
        <f>基本設定シート!C6&amp;"年度と比べて"</f>
        <v>2026年度と比べて</v>
      </c>
      <c r="K61" s="418"/>
      <c r="L61" s="418"/>
      <c r="M61" s="420"/>
      <c r="N61" s="420"/>
      <c r="O61" s="415" t="s">
        <v>4083</v>
      </c>
      <c r="P61" s="416"/>
      <c r="Q61" s="13"/>
      <c r="R61" s="62" t="s">
        <v>4084</v>
      </c>
      <c r="S61" s="419" t="str">
        <f>基本設定シート!C6&amp;"年度"</f>
        <v>2026年度</v>
      </c>
      <c r="T61" s="419"/>
      <c r="U61" s="400" t="str">
        <f>X29</f>
        <v/>
      </c>
      <c r="V61" s="401"/>
      <c r="W61" s="63" t="s">
        <v>29</v>
      </c>
      <c r="X61" s="13"/>
      <c r="Y61" s="62" t="s">
        <v>4085</v>
      </c>
      <c r="Z61" s="419" t="str">
        <f>基本設定シート!C6+1&amp;"年度"</f>
        <v>2027年度</v>
      </c>
      <c r="AA61" s="419"/>
      <c r="AB61" s="413" t="str">
        <f>IF(M61="","",ROUNDDOWN(U61*(100-M61)/100,1))</f>
        <v/>
      </c>
      <c r="AC61" s="414"/>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390" t="s">
        <v>4095</v>
      </c>
      <c r="C65" s="390"/>
      <c r="D65" s="390"/>
      <c r="E65" s="390"/>
      <c r="F65" s="390"/>
      <c r="G65" s="390"/>
      <c r="H65" s="390"/>
      <c r="I65" s="390"/>
      <c r="J65" s="390"/>
      <c r="K65" s="390"/>
      <c r="L65" s="390"/>
      <c r="M65" s="390"/>
      <c r="N65" s="390" t="s">
        <v>4283</v>
      </c>
      <c r="O65" s="390"/>
      <c r="P65" s="390"/>
      <c r="Q65" s="390"/>
      <c r="R65" s="390"/>
      <c r="S65" s="390"/>
      <c r="T65" s="390"/>
      <c r="U65" s="390" t="s">
        <v>4284</v>
      </c>
      <c r="V65" s="390"/>
      <c r="W65" s="390"/>
      <c r="X65" s="390"/>
      <c r="Y65" s="390"/>
      <c r="Z65" s="390"/>
      <c r="AA65" s="390"/>
      <c r="AB65" s="390"/>
      <c r="AC65" s="390"/>
      <c r="AD65" s="390"/>
      <c r="AE65" s="13"/>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395" t="s">
        <v>4286</v>
      </c>
      <c r="D67" s="395"/>
      <c r="E67" s="395"/>
      <c r="F67" s="395"/>
      <c r="G67" s="395"/>
      <c r="H67" s="39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383"/>
      <c r="AJ70" s="383"/>
      <c r="AK70" s="383"/>
      <c r="AL70" s="383" t="s">
        <v>4108</v>
      </c>
      <c r="AM70" s="383"/>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398" t="str">
        <f t="shared" ref="AI71:AI76" si="45">E23</f>
        <v>ガソリン</v>
      </c>
      <c r="AJ71" s="398"/>
      <c r="AK71" s="398"/>
      <c r="AL71" s="399" t="e">
        <f t="shared" ref="AL71:AL76" si="46">IF(OR(BI23="",BI23=0),NA(),BI23)</f>
        <v>#N/A</v>
      </c>
      <c r="AM71" s="399"/>
      <c r="AN71" s="20"/>
      <c r="AO71" s="20"/>
      <c r="AP71" s="20"/>
      <c r="AQ71" s="20"/>
      <c r="AR71" s="20"/>
      <c r="AS71" s="20"/>
      <c r="AT71" s="20"/>
      <c r="AU71" s="48" t="str">
        <f>基本設定シート!$C$6-1&amp;"年度（使用量）"</f>
        <v>2025年度（使用量）</v>
      </c>
      <c r="AV71" s="49" t="str">
        <f>IFERROR(INDEX('入力シート（2026年度提出用）'!AV23:AV34,MATCH($AU$69,'入力シート（2026年度提出用）'!$AU$23:$AU$34,0)),"")</f>
        <v>リットル</v>
      </c>
      <c r="AW71" s="49">
        <f>IFERROR(INDEX('入力シート（2026年度提出用）'!AW23:AW34,MATCH($AU$69,'入力シート（2026年度提出用）'!$AU$23:$AU$34,0)),"")</f>
        <v>0</v>
      </c>
      <c r="AX71" s="49">
        <f>IFERROR(INDEX('入力シート（2026年度提出用）'!AX23:AX34,MATCH($AU$69,'入力シート（2026年度提出用）'!$AU$23:$AU$34,0)),"")</f>
        <v>0</v>
      </c>
      <c r="AY71" s="49">
        <f>IFERROR(INDEX('入力シート（2026年度提出用）'!AY23:AY34,MATCH($AU$69,'入力シート（2026年度提出用）'!$AU$23:$AU$34,0)),"")</f>
        <v>0</v>
      </c>
      <c r="AZ71" s="49">
        <f>IFERROR(INDEX('入力シート（2026年度提出用）'!AZ23:AZ34,MATCH($AU$69,'入力シート（2026年度提出用）'!$AU$23:$AU$34,0)),"")</f>
        <v>0</v>
      </c>
      <c r="BA71" s="49">
        <f>IFERROR(INDEX('入力シート（2026年度提出用）'!BA23:BA34,MATCH($AU$69,'入力シート（2026年度提出用）'!$AU$23:$AU$34,0)),"")</f>
        <v>0</v>
      </c>
      <c r="BB71" s="49">
        <f>IFERROR(INDEX('入力シート（2026年度提出用）'!BB23:BB34,MATCH($AU$69,'入力シート（2026年度提出用）'!$AU$23:$AU$34,0)),"")</f>
        <v>0</v>
      </c>
      <c r="BC71" s="49">
        <f>IFERROR(INDEX('入力シート（2026年度提出用）'!BC23:BC34,MATCH($AU$69,'入力シート（2026年度提出用）'!$AU$23:$AU$34,0)),"")</f>
        <v>0</v>
      </c>
      <c r="BD71" s="49">
        <f>IFERROR(INDEX('入力シート（2026年度提出用）'!BD23:BD34,MATCH($AU$69,'入力シート（2026年度提出用）'!$AU$23:$AU$34,0)),"")</f>
        <v>0</v>
      </c>
      <c r="BE71" s="49">
        <f>IFERROR(INDEX('入力シート（2026年度提出用）'!BE23:BE34,MATCH($AU$69,'入力シート（2026年度提出用）'!$AU$23:$AU$34,0)),"")</f>
        <v>0</v>
      </c>
      <c r="BF71" s="49">
        <f>IFERROR(INDEX('入力シート（2026年度提出用）'!BF23:BF34,MATCH($AU$69,'入力シート（2026年度提出用）'!$AU$23:$AU$34,0)),"")</f>
        <v>0</v>
      </c>
      <c r="BG71" s="49">
        <f>IFERROR(INDEX('入力シート（2026年度提出用）'!BG23:BG34,MATCH($AU$69,'入力シート（2026年度提出用）'!$AU$23:$AU$34,0)),"")</f>
        <v>0</v>
      </c>
      <c r="BH71" s="49">
        <f>IFERROR(INDEX('入力シート（2026年度提出用）'!BH23:BH34,MATCH($AU$69,'入力シート（2026年度提出用）'!$AU$23:$AU$34,0)),"")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398" t="str">
        <f t="shared" si="45"/>
        <v>軽油</v>
      </c>
      <c r="AJ72" s="398"/>
      <c r="AK72" s="398"/>
      <c r="AL72" s="399" t="e">
        <f t="shared" si="46"/>
        <v>#N/A</v>
      </c>
      <c r="AM72" s="399"/>
      <c r="AN72" s="20"/>
      <c r="AO72" s="20"/>
      <c r="AP72" s="20"/>
      <c r="AQ72" s="20"/>
      <c r="AR72" s="20"/>
      <c r="AS72" s="20"/>
      <c r="AT72" s="20"/>
      <c r="AU72" s="48" t="str">
        <f>基本設定シート!$C$6-1&amp;"年度（料金）"</f>
        <v>2025年度（料金）</v>
      </c>
      <c r="AV72" s="49" t="str">
        <f>IFERROR(INDEX('入力シート（2026年度提出用）'!BS23:BS34,MATCH($AU$69,'入力シート（2026年度提出用）'!$AU$23:$AU$34,0)),"")</f>
        <v>円</v>
      </c>
      <c r="AW72" s="49" t="e">
        <f>IF(INDEX('入力シート（2026年度提出用）'!BT23:BT34,MATCH($AU$69,'入力シート（2026年度提出用）'!$AU$23:$AU$34,0))="",NA(),INDEX('入力シート（2026年度提出用）'!BT23:BT34,MATCH($AU$69,'入力シート（2026年度提出用）'!$AU$23:$AU$34,0)))</f>
        <v>#N/A</v>
      </c>
      <c r="AX72" s="49" t="e">
        <f>IF(INDEX('入力シート（2026年度提出用）'!BU23:BU34,MATCH($AU$69,'入力シート（2026年度提出用）'!$AU$23:$AU$34,0))="",NA(),INDEX('入力シート（2026年度提出用）'!BU23:BU34,MATCH($AU$69,'入力シート（2026年度提出用）'!$AU$23:$AU$34,0)))</f>
        <v>#N/A</v>
      </c>
      <c r="AY72" s="49" t="e">
        <f>IF(INDEX('入力シート（2026年度提出用）'!BV23:BV34,MATCH($AU$69,'入力シート（2026年度提出用）'!$AU$23:$AU$34,0))="",NA(),INDEX('入力シート（2026年度提出用）'!BV23:BV34,MATCH($AU$69,'入力シート（2026年度提出用）'!$AU$23:$AU$34,0)))</f>
        <v>#N/A</v>
      </c>
      <c r="AZ72" s="49" t="e">
        <f>IF(INDEX('入力シート（2026年度提出用）'!BW23:BW34,MATCH($AU$69,'入力シート（2026年度提出用）'!$AU$23:$AU$34,0))="",NA(),INDEX('入力シート（2026年度提出用）'!BW23:BW34,MATCH($AU$69,'入力シート（2026年度提出用）'!$AU$23:$AU$34,0)))</f>
        <v>#N/A</v>
      </c>
      <c r="BA72" s="49" t="e">
        <f>IF(INDEX('入力シート（2026年度提出用）'!BX23:BX34,MATCH($AU$69,'入力シート（2026年度提出用）'!$AU$23:$AU$34,0))="",NA(),INDEX('入力シート（2026年度提出用）'!BX23:BX34,MATCH($AU$69,'入力シート（2026年度提出用）'!$AU$23:$AU$34,0)))</f>
        <v>#N/A</v>
      </c>
      <c r="BB72" s="49" t="e">
        <f>IF(INDEX('入力シート（2026年度提出用）'!BY23:BY34,MATCH($AU$69,'入力シート（2026年度提出用）'!$AU$23:$AU$34,0))="",NA(),INDEX('入力シート（2026年度提出用）'!BY23:BY34,MATCH($AU$69,'入力シート（2026年度提出用）'!$AU$23:$AU$34,0)))</f>
        <v>#N/A</v>
      </c>
      <c r="BC72" s="49" t="e">
        <f>IF(INDEX('入力シート（2026年度提出用）'!BZ23:BZ34,MATCH($AU$69,'入力シート（2026年度提出用）'!$AU$23:$AU$34,0))="",NA(),INDEX('入力シート（2026年度提出用）'!BZ23:BZ34,MATCH($AU$69,'入力シート（2026年度提出用）'!$AU$23:$AU$34,0)))</f>
        <v>#N/A</v>
      </c>
      <c r="BD72" s="49" t="e">
        <f>IF(INDEX('入力シート（2026年度提出用）'!CA23:CA34,MATCH($AU$69,'入力シート（2026年度提出用）'!$AU$23:$AU$34,0))="",NA(),INDEX('入力シート（2026年度提出用）'!CA23:CA34,MATCH($AU$69,'入力シート（2026年度提出用）'!$AU$23:$AU$34,0)))</f>
        <v>#N/A</v>
      </c>
      <c r="BE72" s="49" t="e">
        <f>IF(INDEX('入力シート（2026年度提出用）'!CB23:CB34,MATCH($AU$69,'入力シート（2026年度提出用）'!$AU$23:$AU$34,0))="",NA(),INDEX('入力シート（2026年度提出用）'!CB23:CB34,MATCH($AU$69,'入力シート（2026年度提出用）'!$AU$23:$AU$34,0)))</f>
        <v>#N/A</v>
      </c>
      <c r="BF72" s="49" t="e">
        <f>IF(INDEX('入力シート（2026年度提出用）'!CC23:CC34,MATCH($AU$69,'入力シート（2026年度提出用）'!$AU$23:$AU$34,0))="",NA(),INDEX('入力シート（2026年度提出用）'!CC23:CC34,MATCH($AU$69,'入力シート（2026年度提出用）'!$AU$23:$AU$34,0)))</f>
        <v>#N/A</v>
      </c>
      <c r="BG72" s="49" t="e">
        <f>IF(INDEX('入力シート（2026年度提出用）'!CD23:CD34,MATCH($AU$69,'入力シート（2026年度提出用）'!$AU$23:$AU$34,0))="",NA(),INDEX('入力シート（2026年度提出用）'!CD23:CD34,MATCH($AU$69,'入力シート（2026年度提出用）'!$AU$23:$AU$34,0)))</f>
        <v>#N/A</v>
      </c>
      <c r="BH72" s="49" t="e">
        <f>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398" t="str">
        <f t="shared" si="45"/>
        <v>液化石油ガス(LPG)</v>
      </c>
      <c r="AJ73" s="398"/>
      <c r="AK73" s="398"/>
      <c r="AL73" s="399" t="e">
        <f t="shared" si="46"/>
        <v>#N/A</v>
      </c>
      <c r="AM73" s="399"/>
      <c r="AN73" s="20"/>
      <c r="AO73" s="20"/>
      <c r="AP73" s="20"/>
      <c r="AQ73" s="20"/>
      <c r="AR73" s="20"/>
      <c r="AS73" s="20"/>
      <c r="AT73" s="20"/>
      <c r="AU73" s="48" t="str">
        <f>基本設定シート!$C$6&amp;"年度（使用量）"</f>
        <v>2026年度（使用量）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398" t="str">
        <f t="shared" si="45"/>
        <v>電気（充電）</v>
      </c>
      <c r="AJ74" s="398"/>
      <c r="AK74" s="398"/>
      <c r="AL74" s="399" t="e">
        <f t="shared" si="46"/>
        <v>#N/A</v>
      </c>
      <c r="AM74" s="399"/>
      <c r="AN74" s="20"/>
      <c r="AO74" s="20"/>
      <c r="AP74" s="20"/>
      <c r="AQ74" s="20"/>
      <c r="AR74" s="20"/>
      <c r="AS74" s="20"/>
      <c r="AT74" s="20"/>
      <c r="AU74" s="48" t="str">
        <f>基本設定シート!$C$6&amp;"年度（料金）"</f>
        <v>2026年度（料金）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398" t="str">
        <f t="shared" si="45"/>
        <v>水素</v>
      </c>
      <c r="AJ75" s="398"/>
      <c r="AK75" s="398"/>
      <c r="AL75" s="399" t="e">
        <f t="shared" si="46"/>
        <v>#N/A</v>
      </c>
      <c r="AM75" s="399"/>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398" t="str">
        <f t="shared" si="45"/>
        <v>上記以外のエネルギー（選択）</v>
      </c>
      <c r="AJ76" s="398"/>
      <c r="AK76" s="398"/>
      <c r="AL76" s="399" t="e">
        <f t="shared" si="46"/>
        <v>#N/A</v>
      </c>
      <c r="AM76" s="399"/>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397"/>
      <c r="AJ77" s="397"/>
      <c r="AK77" s="397"/>
      <c r="AL77" s="396"/>
      <c r="AM77" s="396"/>
      <c r="AN77" s="20"/>
      <c r="AO77" s="20"/>
      <c r="AP77" s="20"/>
      <c r="AQ77" s="20"/>
      <c r="AR77" s="20"/>
      <c r="AS77" s="20"/>
      <c r="AT77" s="20"/>
      <c r="AU77" s="24"/>
      <c r="AV77" s="383" t="str">
        <f>基本設定シート!$B$11-1&amp;"年度"</f>
        <v>2025年度</v>
      </c>
      <c r="AW77" s="383"/>
      <c r="AX77" s="383" t="str">
        <f>基本設定シート!$B$11&amp;"年度"</f>
        <v>2026年度</v>
      </c>
      <c r="AY77" s="383"/>
      <c r="AZ77" s="383" t="str">
        <f>基本設定シート!$B$11+1&amp;"年度"</f>
        <v>2027年度</v>
      </c>
      <c r="BA77" s="383"/>
      <c r="BB77" s="383" t="str">
        <f>IF(基本設定シート!$B$11=基本設定シート!$C$8,"",基本設定シート!$B$11+2&amp;"年度")</f>
        <v>2028年度</v>
      </c>
      <c r="BC77" s="383"/>
      <c r="BD77" s="383" t="str">
        <f>IF(OR(基本設定シート!$B$11=基本設定シート!$C$7,基本設定シート!$B$11=基本設定シート!$C$8),"",基本設定シート!$B$11+3&amp;"年度")</f>
        <v>2029年度</v>
      </c>
      <c r="BE77" s="383"/>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397"/>
      <c r="AJ78" s="397"/>
      <c r="AK78" s="397"/>
      <c r="AL78" s="396"/>
      <c r="AM78" s="396"/>
      <c r="AN78" s="20"/>
      <c r="AO78" s="20"/>
      <c r="AP78" s="20"/>
      <c r="AQ78" s="20"/>
      <c r="AR78" s="20"/>
      <c r="AS78" s="20"/>
      <c r="AT78" s="20"/>
      <c r="AU78" s="48" t="str">
        <f>E23</f>
        <v>ガソリン</v>
      </c>
      <c r="AV78" s="382" t="str">
        <f>'入力シート（2026年度提出用）'!BK23</f>
        <v/>
      </c>
      <c r="AW78" s="383"/>
      <c r="AX78" s="382" t="str">
        <f t="shared" ref="AX78:AX83" si="49">BK23</f>
        <v/>
      </c>
      <c r="AY78" s="383"/>
      <c r="AZ78" s="383"/>
      <c r="BA78" s="383"/>
      <c r="BB78" s="383"/>
      <c r="BC78" s="383"/>
      <c r="BD78" s="383"/>
      <c r="BE78" s="383"/>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397"/>
      <c r="AJ79" s="397"/>
      <c r="AK79" s="397"/>
      <c r="AL79" s="396"/>
      <c r="AM79" s="396"/>
      <c r="AN79" s="20"/>
      <c r="AO79" s="20"/>
      <c r="AP79" s="20"/>
      <c r="AQ79" s="20"/>
      <c r="AR79" s="20"/>
      <c r="AS79" s="20"/>
      <c r="AT79" s="20"/>
      <c r="AU79" s="48" t="str">
        <f>E24</f>
        <v>軽油</v>
      </c>
      <c r="AV79" s="382" t="str">
        <f>'入力シート（2026年度提出用）'!BK24</f>
        <v/>
      </c>
      <c r="AW79" s="383"/>
      <c r="AX79" s="382" t="str">
        <f t="shared" si="49"/>
        <v/>
      </c>
      <c r="AY79" s="383"/>
      <c r="AZ79" s="383"/>
      <c r="BA79" s="383"/>
      <c r="BB79" s="383"/>
      <c r="BC79" s="383"/>
      <c r="BD79" s="383"/>
      <c r="BE79" s="383"/>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382" t="str">
        <f>'入力シート（2026年度提出用）'!BK25</f>
        <v/>
      </c>
      <c r="AW80" s="383"/>
      <c r="AX80" s="382" t="str">
        <f t="shared" si="49"/>
        <v/>
      </c>
      <c r="AY80" s="383"/>
      <c r="AZ80" s="383"/>
      <c r="BA80" s="383"/>
      <c r="BB80" s="383"/>
      <c r="BC80" s="383"/>
      <c r="BD80" s="383"/>
      <c r="BE80" s="383"/>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382" t="str">
        <f>'入力シート（2026年度提出用）'!BK26</f>
        <v/>
      </c>
      <c r="AW81" s="383"/>
      <c r="AX81" s="382" t="str">
        <f t="shared" si="49"/>
        <v/>
      </c>
      <c r="AY81" s="383"/>
      <c r="AZ81" s="383"/>
      <c r="BA81" s="383"/>
      <c r="BB81" s="383"/>
      <c r="BC81" s="383"/>
      <c r="BD81" s="383"/>
      <c r="BE81" s="383"/>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"◆省エネの取り組みの実施状況（"&amp;基本設定シート!C6&amp;"年度の状況）と実施計画"</f>
        <v>◆省エネの取り組みの実施状況（2026年度の状況）と実施計画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382" t="str">
        <f>'入力シート（2026年度提出用）'!BK27</f>
        <v/>
      </c>
      <c r="AW82" s="383"/>
      <c r="AX82" s="382" t="str">
        <f t="shared" si="49"/>
        <v/>
      </c>
      <c r="AY82" s="383"/>
      <c r="AZ82" s="383"/>
      <c r="BA82" s="383"/>
      <c r="BB82" s="383"/>
      <c r="BC82" s="383"/>
      <c r="BD82" s="383"/>
      <c r="BE82" s="383"/>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382" t="str">
        <f>'入力シート（2026年度提出用）'!BK28</f>
        <v/>
      </c>
      <c r="AW83" s="383"/>
      <c r="AX83" s="382" t="str">
        <f t="shared" si="49"/>
        <v/>
      </c>
      <c r="AY83" s="383"/>
      <c r="AZ83" s="383"/>
      <c r="BA83" s="383"/>
      <c r="BB83" s="383"/>
      <c r="BC83" s="383"/>
      <c r="BD83" s="383"/>
      <c r="BE83" s="383"/>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472" t="s">
        <v>4089</v>
      </c>
      <c r="D84" s="474"/>
      <c r="E84" s="472" t="s">
        <v>4090</v>
      </c>
      <c r="F84" s="473"/>
      <c r="G84" s="473"/>
      <c r="H84" s="473"/>
      <c r="I84" s="473"/>
      <c r="J84" s="473"/>
      <c r="K84" s="473"/>
      <c r="L84" s="473"/>
      <c r="M84" s="474"/>
      <c r="N84" s="471" t="s">
        <v>4092</v>
      </c>
      <c r="O84" s="471"/>
      <c r="P84" s="471"/>
      <c r="Q84" s="471"/>
      <c r="R84" s="471"/>
      <c r="S84" s="471"/>
      <c r="T84" s="471"/>
      <c r="U84" s="471"/>
      <c r="V84" s="471"/>
      <c r="W84" s="471"/>
      <c r="X84" s="471"/>
      <c r="Y84" s="471"/>
      <c r="Z84" s="471"/>
      <c r="AA84" s="471" t="s">
        <v>4130</v>
      </c>
      <c r="AB84" s="471"/>
      <c r="AC84" s="471"/>
      <c r="AD84" s="471"/>
      <c r="AE84" s="13"/>
      <c r="AF84" s="20"/>
      <c r="AG84" s="20"/>
      <c r="AH84" s="20"/>
      <c r="AI84" s="20"/>
      <c r="AJ84" s="20"/>
      <c r="AK84" s="20"/>
      <c r="AL84" s="71" t="s">
        <v>4097</v>
      </c>
      <c r="AM84" s="20"/>
      <c r="AN84" s="20"/>
      <c r="AO84" s="20"/>
      <c r="AP84" s="20"/>
      <c r="AQ84" s="20"/>
      <c r="AR84" s="20"/>
      <c r="AS84" s="20"/>
      <c r="AT84" s="20"/>
      <c r="AU84" s="48"/>
      <c r="AV84" s="382"/>
      <c r="AW84" s="383"/>
      <c r="AX84" s="382"/>
      <c r="AY84" s="383"/>
      <c r="AZ84" s="383"/>
      <c r="BA84" s="383"/>
      <c r="BB84" s="383"/>
      <c r="BC84" s="383"/>
      <c r="BD84" s="383"/>
      <c r="BE84" s="383"/>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513">
        <v>1</v>
      </c>
      <c r="D85" s="514"/>
      <c r="E85" s="475" t="str">
        <f>取組リスト!B3</f>
        <v>省エネ・地球温暖化対策に関する社内研修等の実施</v>
      </c>
      <c r="F85" s="476"/>
      <c r="G85" s="476"/>
      <c r="H85" s="476"/>
      <c r="I85" s="476"/>
      <c r="J85" s="476"/>
      <c r="K85" s="476"/>
      <c r="L85" s="476"/>
      <c r="M85" s="477"/>
      <c r="N85" s="27"/>
      <c r="O85" s="47" t="s">
        <v>4093</v>
      </c>
      <c r="P85" s="47"/>
      <c r="Q85" s="47"/>
      <c r="R85" s="47" t="s">
        <v>4227</v>
      </c>
      <c r="S85" s="47"/>
      <c r="T85" s="47"/>
      <c r="U85" s="47" t="s">
        <v>4094</v>
      </c>
      <c r="V85" s="47"/>
      <c r="W85" s="47"/>
      <c r="X85" s="47"/>
      <c r="Y85" s="47"/>
      <c r="Z85" s="28"/>
      <c r="AA85" s="513" t="str">
        <f>'入力シート（2026年度提出用）'!AH85</f>
        <v>未選択</v>
      </c>
      <c r="AB85" s="539"/>
      <c r="AC85" s="539"/>
      <c r="AD85" s="514"/>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382"/>
      <c r="AW85" s="383"/>
      <c r="AX85" s="382"/>
      <c r="AY85" s="383"/>
      <c r="AZ85" s="383"/>
      <c r="BA85" s="383"/>
      <c r="BB85" s="383"/>
      <c r="BC85" s="383"/>
      <c r="BD85" s="383"/>
      <c r="BE85" s="383"/>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513">
        <f>C85+1</f>
        <v>2</v>
      </c>
      <c r="D86" s="514"/>
      <c r="E86" s="475" t="str">
        <f>取組リスト!B4</f>
        <v>車両毎の燃料使用量や走行距離の把握・記録・社内共有</v>
      </c>
      <c r="F86" s="476"/>
      <c r="G86" s="476"/>
      <c r="H86" s="476"/>
      <c r="I86" s="476"/>
      <c r="J86" s="476"/>
      <c r="K86" s="476"/>
      <c r="L86" s="476"/>
      <c r="M86" s="477"/>
      <c r="N86" s="27"/>
      <c r="O86" s="47" t="s">
        <v>4093</v>
      </c>
      <c r="P86" s="47"/>
      <c r="Q86" s="47"/>
      <c r="R86" s="47" t="s">
        <v>4227</v>
      </c>
      <c r="S86" s="47"/>
      <c r="T86" s="47"/>
      <c r="U86" s="47" t="s">
        <v>4094</v>
      </c>
      <c r="V86" s="47"/>
      <c r="W86" s="47"/>
      <c r="X86" s="47"/>
      <c r="Y86" s="47"/>
      <c r="Z86" s="28"/>
      <c r="AA86" s="513" t="str">
        <f>'入力シート（2026年度提出用）'!AH86</f>
        <v>未選択</v>
      </c>
      <c r="AB86" s="539"/>
      <c r="AC86" s="539"/>
      <c r="AD86" s="514"/>
      <c r="AE86" s="13"/>
      <c r="AF86" s="20"/>
      <c r="AG86" s="7"/>
      <c r="AH86" s="69" t="str">
        <f t="shared" ref="AH86:AH99" si="50">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383"/>
      <c r="AW86" s="383"/>
      <c r="AX86" s="391"/>
      <c r="AY86" s="383"/>
      <c r="AZ86" s="391" t="e">
        <f>IF(AB61="",NA(),AB61)</f>
        <v>#N/A</v>
      </c>
      <c r="BA86" s="383"/>
      <c r="BB86" s="383"/>
      <c r="BC86" s="383"/>
      <c r="BD86" s="383"/>
      <c r="BE86" s="383"/>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513">
        <f t="shared" ref="C87:C105" si="51">C86+1</f>
        <v>3</v>
      </c>
      <c r="D87" s="514"/>
      <c r="E87" s="475" t="str">
        <f>取組リスト!B5</f>
        <v>エコドライブ推進に関する責任者の設置・エコドライブ推進体制の整備</v>
      </c>
      <c r="F87" s="476"/>
      <c r="G87" s="476"/>
      <c r="H87" s="476"/>
      <c r="I87" s="476"/>
      <c r="J87" s="476"/>
      <c r="K87" s="476"/>
      <c r="L87" s="476"/>
      <c r="M87" s="477"/>
      <c r="N87" s="27"/>
      <c r="O87" s="47" t="s">
        <v>4093</v>
      </c>
      <c r="P87" s="47"/>
      <c r="Q87" s="47"/>
      <c r="R87" s="47" t="s">
        <v>4227</v>
      </c>
      <c r="S87" s="47"/>
      <c r="T87" s="47"/>
      <c r="U87" s="47" t="s">
        <v>4094</v>
      </c>
      <c r="V87" s="47"/>
      <c r="W87" s="47"/>
      <c r="X87" s="47"/>
      <c r="Y87" s="47"/>
      <c r="Z87" s="28"/>
      <c r="AA87" s="513" t="str">
        <f>'入力シート（2026年度提出用）'!AH87</f>
        <v>未選択</v>
      </c>
      <c r="AB87" s="539"/>
      <c r="AC87" s="539"/>
      <c r="AD87" s="514"/>
      <c r="AE87" s="13"/>
      <c r="AF87" s="20"/>
      <c r="AG87" s="7"/>
      <c r="AH87" s="69" t="str">
        <f t="shared" si="50"/>
        <v>未選択</v>
      </c>
      <c r="AI87" s="70"/>
      <c r="AJ87" s="26"/>
      <c r="AK87" s="20"/>
      <c r="AL87" s="42" t="str">
        <f>基本設定シート!$B$11&amp;"年度"</f>
        <v>2026年度</v>
      </c>
      <c r="AM87" s="42">
        <f>COUNTIF($AG$85:$AG$100,1)</f>
        <v>0</v>
      </c>
      <c r="AN87" s="42">
        <f>COUNTIF($AG$85:$AG$100,2)</f>
        <v>0</v>
      </c>
      <c r="AO87" s="42">
        <f>COUNTIF($AG$85:$AG$100,3)</f>
        <v>0</v>
      </c>
      <c r="AP87" s="42">
        <f>COUNTIF($AG$85:$AG$100,4)</f>
        <v>0</v>
      </c>
      <c r="AQ87" s="42">
        <f>C100-AP87</f>
        <v>16</v>
      </c>
      <c r="AR87" s="72">
        <f>AM87/AQ87</f>
        <v>0</v>
      </c>
      <c r="AS87" s="72">
        <f>(AM87+AN87)/AQ87</f>
        <v>0</v>
      </c>
      <c r="AT87" s="20"/>
      <c r="AU87" s="24" t="s">
        <v>23</v>
      </c>
      <c r="AV87" s="382">
        <f>ROUNDDOWN(SUM(AV78:AW85),1)</f>
        <v>0</v>
      </c>
      <c r="AW87" s="383"/>
      <c r="AX87" s="382">
        <f>ROUNDDOWN(SUM(AX78:AY85),1)</f>
        <v>0</v>
      </c>
      <c r="AY87" s="383"/>
      <c r="AZ87" s="382"/>
      <c r="BA87" s="383"/>
      <c r="BB87" s="382"/>
      <c r="BC87" s="383"/>
      <c r="BD87" s="382"/>
      <c r="BE87" s="383"/>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513">
        <f t="shared" si="51"/>
        <v>4</v>
      </c>
      <c r="D88" s="514"/>
      <c r="E88" s="475" t="str">
        <f>取組リスト!B6</f>
        <v>運転する全社員に対するエコドライブに関する研修・教育の実施</v>
      </c>
      <c r="F88" s="476"/>
      <c r="G88" s="476"/>
      <c r="H88" s="476"/>
      <c r="I88" s="476"/>
      <c r="J88" s="476"/>
      <c r="K88" s="476"/>
      <c r="L88" s="476"/>
      <c r="M88" s="477"/>
      <c r="N88" s="27"/>
      <c r="O88" s="47" t="s">
        <v>4093</v>
      </c>
      <c r="P88" s="47"/>
      <c r="Q88" s="47"/>
      <c r="R88" s="47" t="s">
        <v>4227</v>
      </c>
      <c r="S88" s="47"/>
      <c r="T88" s="47"/>
      <c r="U88" s="47" t="s">
        <v>4094</v>
      </c>
      <c r="V88" s="47"/>
      <c r="W88" s="47"/>
      <c r="X88" s="13"/>
      <c r="Y88" s="47"/>
      <c r="Z88" s="28"/>
      <c r="AA88" s="513" t="str">
        <f>'入力シート（2026年度提出用）'!AH88</f>
        <v>未選択</v>
      </c>
      <c r="AB88" s="539"/>
      <c r="AC88" s="539"/>
      <c r="AD88" s="514"/>
      <c r="AE88" s="13"/>
      <c r="AF88" s="20"/>
      <c r="AG88" s="7"/>
      <c r="AH88" s="69" t="str">
        <f t="shared" si="50"/>
        <v>未選択</v>
      </c>
      <c r="AI88" s="70"/>
      <c r="AJ88" s="26"/>
      <c r="AK88" s="20"/>
      <c r="AL88" s="42" t="str">
        <f>IF(基本設定シート!$B$11=基本設定シート!$C$8,"",基本設定シート!$B$11+1&amp;"年度")</f>
        <v>2027年度</v>
      </c>
      <c r="AM88" s="42"/>
      <c r="AN88" s="42"/>
      <c r="AO88" s="42"/>
      <c r="AP88" s="42"/>
      <c r="AQ88" s="42"/>
      <c r="AR88" s="42"/>
      <c r="AS88" s="24"/>
      <c r="AT88" s="20"/>
      <c r="AU88" s="24" t="s">
        <v>4178</v>
      </c>
      <c r="AV88" s="383" t="s">
        <v>4179</v>
      </c>
      <c r="AW88" s="383"/>
      <c r="AX88" s="540" t="e">
        <f>IF(AX77="","-",($AV$87-AX87)/$AV$87)</f>
        <v>#DIV/0!</v>
      </c>
      <c r="AY88" s="540"/>
      <c r="AZ88" s="540" t="s">
        <v>27</v>
      </c>
      <c r="BA88" s="540"/>
      <c r="BB88" s="540" t="s">
        <v>27</v>
      </c>
      <c r="BC88" s="540"/>
      <c r="BD88" s="383" t="s">
        <v>27</v>
      </c>
      <c r="BE88" s="383"/>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513">
        <f t="shared" si="51"/>
        <v>5</v>
      </c>
      <c r="D89" s="514"/>
      <c r="E89" s="475" t="str">
        <f>取組リスト!B7</f>
        <v>チェックシート等を活用したエコドライブの実践</v>
      </c>
      <c r="F89" s="476"/>
      <c r="G89" s="476"/>
      <c r="H89" s="476"/>
      <c r="I89" s="476"/>
      <c r="J89" s="476"/>
      <c r="K89" s="476"/>
      <c r="L89" s="476"/>
      <c r="M89" s="477"/>
      <c r="N89" s="27"/>
      <c r="O89" s="47" t="s">
        <v>4093</v>
      </c>
      <c r="P89" s="47"/>
      <c r="Q89" s="47"/>
      <c r="R89" s="47" t="s">
        <v>4227</v>
      </c>
      <c r="S89" s="47"/>
      <c r="T89" s="47"/>
      <c r="U89" s="47" t="s">
        <v>4094</v>
      </c>
      <c r="V89" s="47"/>
      <c r="W89" s="47"/>
      <c r="X89" s="47"/>
      <c r="Y89" s="47"/>
      <c r="Z89" s="28"/>
      <c r="AA89" s="513" t="str">
        <f>'入力シート（2026年度提出用）'!AH89</f>
        <v>未選択</v>
      </c>
      <c r="AB89" s="539"/>
      <c r="AC89" s="539"/>
      <c r="AD89" s="514"/>
      <c r="AE89" s="13"/>
      <c r="AF89" s="20"/>
      <c r="AG89" s="7"/>
      <c r="AH89" s="69" t="str">
        <f t="shared" si="50"/>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513">
        <f t="shared" si="51"/>
        <v>6</v>
      </c>
      <c r="D90" s="514"/>
      <c r="E90" s="475" t="str">
        <f>取組リスト!B8</f>
        <v>優良エコドライバーへの表彰等</v>
      </c>
      <c r="F90" s="476"/>
      <c r="G90" s="476"/>
      <c r="H90" s="476"/>
      <c r="I90" s="476"/>
      <c r="J90" s="476"/>
      <c r="K90" s="476"/>
      <c r="L90" s="476"/>
      <c r="M90" s="477"/>
      <c r="N90" s="27"/>
      <c r="O90" s="47" t="s">
        <v>4093</v>
      </c>
      <c r="P90" s="47"/>
      <c r="Q90" s="47"/>
      <c r="R90" s="47" t="s">
        <v>4227</v>
      </c>
      <c r="S90" s="47"/>
      <c r="T90" s="47"/>
      <c r="U90" s="47" t="s">
        <v>4094</v>
      </c>
      <c r="V90" s="47"/>
      <c r="W90" s="47"/>
      <c r="X90" s="47"/>
      <c r="Y90" s="47"/>
      <c r="Z90" s="28"/>
      <c r="AA90" s="513" t="str">
        <f>'入力シート（2026年度提出用）'!AH90</f>
        <v>未選択</v>
      </c>
      <c r="AB90" s="539"/>
      <c r="AC90" s="539"/>
      <c r="AD90" s="514"/>
      <c r="AE90" s="13"/>
      <c r="AF90" s="20"/>
      <c r="AG90" s="7"/>
      <c r="AH90" s="69" t="str">
        <f t="shared" si="50"/>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513">
        <f t="shared" si="51"/>
        <v>7</v>
      </c>
      <c r="D91" s="514"/>
      <c r="E91" s="475" t="str">
        <f>取組リスト!B9</f>
        <v>輸送や配車効率の向上に資する情報システム（車両動態システム等）の導入</v>
      </c>
      <c r="F91" s="476"/>
      <c r="G91" s="476"/>
      <c r="H91" s="476"/>
      <c r="I91" s="476"/>
      <c r="J91" s="476"/>
      <c r="K91" s="476"/>
      <c r="L91" s="476"/>
      <c r="M91" s="477"/>
      <c r="N91" s="27"/>
      <c r="O91" s="47" t="s">
        <v>4093</v>
      </c>
      <c r="P91" s="47"/>
      <c r="Q91" s="47"/>
      <c r="R91" s="47" t="s">
        <v>4227</v>
      </c>
      <c r="S91" s="47"/>
      <c r="T91" s="47"/>
      <c r="U91" s="47" t="s">
        <v>4094</v>
      </c>
      <c r="V91" s="47"/>
      <c r="W91" s="47"/>
      <c r="X91" s="47"/>
      <c r="Y91" s="47"/>
      <c r="Z91" s="28"/>
      <c r="AA91" s="513" t="str">
        <f>'入力シート（2026年度提出用）'!AH91</f>
        <v>未選択</v>
      </c>
      <c r="AB91" s="539"/>
      <c r="AC91" s="539"/>
      <c r="AD91" s="514"/>
      <c r="AE91" s="13"/>
      <c r="AF91" s="20"/>
      <c r="AG91" s="7"/>
      <c r="AH91" s="69" t="str">
        <f t="shared" si="50"/>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513">
        <f t="shared" si="51"/>
        <v>8</v>
      </c>
      <c r="D92" s="514"/>
      <c r="E92" s="475" t="str">
        <f>取組リスト!B10</f>
        <v>日常及び定期的な保守・点検・修理の実施・記録</v>
      </c>
      <c r="F92" s="476"/>
      <c r="G92" s="476"/>
      <c r="H92" s="476"/>
      <c r="I92" s="476"/>
      <c r="J92" s="476"/>
      <c r="K92" s="476"/>
      <c r="L92" s="476"/>
      <c r="M92" s="477"/>
      <c r="N92" s="27"/>
      <c r="O92" s="47" t="s">
        <v>4093</v>
      </c>
      <c r="P92" s="47"/>
      <c r="Q92" s="47"/>
      <c r="R92" s="47" t="s">
        <v>4227</v>
      </c>
      <c r="S92" s="47"/>
      <c r="T92" s="47"/>
      <c r="U92" s="47" t="s">
        <v>4094</v>
      </c>
      <c r="V92" s="47"/>
      <c r="W92" s="47"/>
      <c r="X92" s="47"/>
      <c r="Y92" s="47"/>
      <c r="Z92" s="28"/>
      <c r="AA92" s="513" t="str">
        <f>'入力シート（2026年度提出用）'!AH92</f>
        <v>未選択</v>
      </c>
      <c r="AB92" s="539"/>
      <c r="AC92" s="539"/>
      <c r="AD92" s="514"/>
      <c r="AE92" s="13"/>
      <c r="AF92" s="20"/>
      <c r="AG92" s="7"/>
      <c r="AH92" s="69" t="str">
        <f t="shared" si="50"/>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513">
        <f t="shared" si="51"/>
        <v>9</v>
      </c>
      <c r="D93" s="514"/>
      <c r="E93" s="475" t="str">
        <f>取組リスト!B11</f>
        <v>目的地までの効率的なルート選定</v>
      </c>
      <c r="F93" s="476"/>
      <c r="G93" s="476"/>
      <c r="H93" s="476"/>
      <c r="I93" s="476"/>
      <c r="J93" s="476"/>
      <c r="K93" s="476"/>
      <c r="L93" s="476"/>
      <c r="M93" s="477"/>
      <c r="N93" s="27"/>
      <c r="O93" s="47" t="s">
        <v>4093</v>
      </c>
      <c r="P93" s="47"/>
      <c r="Q93" s="47"/>
      <c r="R93" s="47" t="s">
        <v>4227</v>
      </c>
      <c r="S93" s="47"/>
      <c r="T93" s="47"/>
      <c r="U93" s="47" t="s">
        <v>4094</v>
      </c>
      <c r="V93" s="47"/>
      <c r="W93" s="47"/>
      <c r="X93" s="47"/>
      <c r="Y93" s="47"/>
      <c r="Z93" s="28"/>
      <c r="AA93" s="513" t="str">
        <f>'入力シート（2026年度提出用）'!AH93</f>
        <v>未選択</v>
      </c>
      <c r="AB93" s="539"/>
      <c r="AC93" s="539"/>
      <c r="AD93" s="514"/>
      <c r="AE93" s="13"/>
      <c r="AF93" s="20"/>
      <c r="AG93" s="7"/>
      <c r="AH93" s="69" t="str">
        <f t="shared" si="50"/>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513">
        <f t="shared" si="51"/>
        <v>10</v>
      </c>
      <c r="D94" s="514"/>
      <c r="E94" s="475" t="str">
        <f>取組リスト!B12</f>
        <v>目的や輸送量に応じた車両を使用するなどの適切な車両管理</v>
      </c>
      <c r="F94" s="476"/>
      <c r="G94" s="476"/>
      <c r="H94" s="476"/>
      <c r="I94" s="476"/>
      <c r="J94" s="476"/>
      <c r="K94" s="476"/>
      <c r="L94" s="476"/>
      <c r="M94" s="477"/>
      <c r="N94" s="27"/>
      <c r="O94" s="47" t="s">
        <v>4093</v>
      </c>
      <c r="P94" s="47"/>
      <c r="Q94" s="47"/>
      <c r="R94" s="47" t="s">
        <v>4227</v>
      </c>
      <c r="S94" s="47"/>
      <c r="T94" s="47"/>
      <c r="U94" s="47" t="s">
        <v>4094</v>
      </c>
      <c r="V94" s="47"/>
      <c r="W94" s="47"/>
      <c r="X94" s="47"/>
      <c r="Y94" s="47"/>
      <c r="Z94" s="28"/>
      <c r="AA94" s="513" t="str">
        <f>'入力シート（2026年度提出用）'!AH94</f>
        <v>未選択</v>
      </c>
      <c r="AB94" s="539"/>
      <c r="AC94" s="539"/>
      <c r="AD94" s="514"/>
      <c r="AE94" s="13"/>
      <c r="AF94" s="20"/>
      <c r="AG94" s="7"/>
      <c r="AH94" s="69" t="str">
        <f t="shared" si="50"/>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513">
        <f t="shared" si="51"/>
        <v>11</v>
      </c>
      <c r="D95" s="514"/>
      <c r="E95" s="475" t="str">
        <f>取組リスト!B13</f>
        <v>燃費が向上する装置等の計画的な導入（アイドリングストップ装置や低燃費タイヤ等）</v>
      </c>
      <c r="F95" s="476"/>
      <c r="G95" s="476"/>
      <c r="H95" s="476"/>
      <c r="I95" s="476"/>
      <c r="J95" s="476"/>
      <c r="K95" s="476"/>
      <c r="L95" s="476"/>
      <c r="M95" s="477"/>
      <c r="N95" s="27"/>
      <c r="O95" s="47" t="s">
        <v>4093</v>
      </c>
      <c r="P95" s="47"/>
      <c r="Q95" s="47"/>
      <c r="R95" s="47" t="s">
        <v>4227</v>
      </c>
      <c r="S95" s="47"/>
      <c r="T95" s="47"/>
      <c r="U95" s="47" t="s">
        <v>4094</v>
      </c>
      <c r="V95" s="47"/>
      <c r="W95" s="47"/>
      <c r="X95" s="47"/>
      <c r="Y95" s="47"/>
      <c r="Z95" s="28"/>
      <c r="AA95" s="513" t="str">
        <f>'入力シート（2026年度提出用）'!AH95</f>
        <v>未選択</v>
      </c>
      <c r="AB95" s="539"/>
      <c r="AC95" s="539"/>
      <c r="AD95" s="514"/>
      <c r="AE95" s="13"/>
      <c r="AF95" s="20"/>
      <c r="AG95" s="7"/>
      <c r="AH95" s="69" t="str">
        <f t="shared" si="50"/>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513">
        <f t="shared" si="51"/>
        <v>12</v>
      </c>
      <c r="D96" s="514"/>
      <c r="E96" s="475" t="str">
        <f>取組リスト!B14</f>
        <v>次世代自動車の導入（電気自動車、低炭素ディーゼル自動車、ハイブリッド自動車等）</v>
      </c>
      <c r="F96" s="476"/>
      <c r="G96" s="476"/>
      <c r="H96" s="476"/>
      <c r="I96" s="476"/>
      <c r="J96" s="476"/>
      <c r="K96" s="476"/>
      <c r="L96" s="476"/>
      <c r="M96" s="477"/>
      <c r="N96" s="27"/>
      <c r="O96" s="47" t="s">
        <v>4093</v>
      </c>
      <c r="P96" s="47"/>
      <c r="Q96" s="47"/>
      <c r="R96" s="47" t="s">
        <v>4227</v>
      </c>
      <c r="S96" s="47"/>
      <c r="T96" s="47"/>
      <c r="U96" s="47" t="s">
        <v>4094</v>
      </c>
      <c r="V96" s="47"/>
      <c r="W96" s="47"/>
      <c r="X96" s="47"/>
      <c r="Y96" s="47"/>
      <c r="Z96" s="28"/>
      <c r="AA96" s="513" t="str">
        <f>'入力シート（2026年度提出用）'!AH96</f>
        <v>未選択</v>
      </c>
      <c r="AB96" s="539"/>
      <c r="AC96" s="539"/>
      <c r="AD96" s="514"/>
      <c r="AE96" s="13"/>
      <c r="AF96" s="20"/>
      <c r="AG96" s="7"/>
      <c r="AH96" s="69" t="str">
        <f t="shared" si="50"/>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513">
        <f t="shared" si="51"/>
        <v>13</v>
      </c>
      <c r="D97" s="514"/>
      <c r="E97" s="475" t="str">
        <f>取組リスト!B15</f>
        <v>事業所内における空調設定温度のルール化</v>
      </c>
      <c r="F97" s="476"/>
      <c r="G97" s="476"/>
      <c r="H97" s="476"/>
      <c r="I97" s="476"/>
      <c r="J97" s="476"/>
      <c r="K97" s="476"/>
      <c r="L97" s="476"/>
      <c r="M97" s="477"/>
      <c r="N97" s="27"/>
      <c r="O97" s="47" t="s">
        <v>4093</v>
      </c>
      <c r="P97" s="47"/>
      <c r="Q97" s="47"/>
      <c r="R97" s="47" t="s">
        <v>4227</v>
      </c>
      <c r="S97" s="47"/>
      <c r="T97" s="47"/>
      <c r="U97" s="47" t="s">
        <v>4094</v>
      </c>
      <c r="V97" s="47"/>
      <c r="W97" s="47"/>
      <c r="X97" s="47"/>
      <c r="Y97" s="47"/>
      <c r="Z97" s="28"/>
      <c r="AA97" s="513" t="str">
        <f>'入力シート（2026年度提出用）'!AH97</f>
        <v>未選択</v>
      </c>
      <c r="AB97" s="539"/>
      <c r="AC97" s="539"/>
      <c r="AD97" s="514"/>
      <c r="AE97" s="13"/>
      <c r="AF97" s="20"/>
      <c r="AG97" s="7"/>
      <c r="AH97" s="69" t="str">
        <f t="shared" si="50"/>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513">
        <f t="shared" si="51"/>
        <v>14</v>
      </c>
      <c r="D98" s="514"/>
      <c r="E98" s="475" t="str">
        <f>取組リスト!B16</f>
        <v>事業所内における照明点灯に関するルール化（休憩時間や不使用時の消灯等）</v>
      </c>
      <c r="F98" s="476"/>
      <c r="G98" s="476"/>
      <c r="H98" s="476"/>
      <c r="I98" s="476"/>
      <c r="J98" s="476"/>
      <c r="K98" s="476"/>
      <c r="L98" s="476"/>
      <c r="M98" s="477"/>
      <c r="N98" s="27"/>
      <c r="O98" s="47" t="s">
        <v>4093</v>
      </c>
      <c r="P98" s="47"/>
      <c r="Q98" s="47"/>
      <c r="R98" s="47" t="s">
        <v>4227</v>
      </c>
      <c r="S98" s="47"/>
      <c r="T98" s="47"/>
      <c r="U98" s="47" t="s">
        <v>4094</v>
      </c>
      <c r="V98" s="47"/>
      <c r="W98" s="47"/>
      <c r="X98" s="47"/>
      <c r="Y98" s="47"/>
      <c r="Z98" s="28"/>
      <c r="AA98" s="513" t="str">
        <f>'入力シート（2026年度提出用）'!AH98</f>
        <v>未選択</v>
      </c>
      <c r="AB98" s="539"/>
      <c r="AC98" s="539"/>
      <c r="AD98" s="514"/>
      <c r="AE98" s="13"/>
      <c r="AF98" s="20"/>
      <c r="AG98" s="7"/>
      <c r="AH98" s="69" t="str">
        <f t="shared" si="50"/>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513">
        <f t="shared" si="51"/>
        <v>15</v>
      </c>
      <c r="D99" s="514"/>
      <c r="E99" s="475" t="str">
        <f>取組リスト!B17</f>
        <v>省エネルギー設備（LED照明、空調、給湯器、冷蔵庫等）への更新</v>
      </c>
      <c r="F99" s="476"/>
      <c r="G99" s="476"/>
      <c r="H99" s="476"/>
      <c r="I99" s="476"/>
      <c r="J99" s="476"/>
      <c r="K99" s="476"/>
      <c r="L99" s="476"/>
      <c r="M99" s="477"/>
      <c r="N99" s="27"/>
      <c r="O99" s="47" t="s">
        <v>4105</v>
      </c>
      <c r="P99" s="47"/>
      <c r="Q99" s="47"/>
      <c r="R99" s="47" t="s">
        <v>4227</v>
      </c>
      <c r="S99" s="47"/>
      <c r="T99" s="47"/>
      <c r="U99" s="47" t="s">
        <v>4094</v>
      </c>
      <c r="V99" s="47"/>
      <c r="W99" s="47"/>
      <c r="X99" s="47"/>
      <c r="Y99" s="47"/>
      <c r="Z99" s="28"/>
      <c r="AA99" s="513" t="str">
        <f>'入力シート（2026年度提出用）'!AH99</f>
        <v>未選択</v>
      </c>
      <c r="AB99" s="539"/>
      <c r="AC99" s="539"/>
      <c r="AD99" s="514"/>
      <c r="AE99" s="13"/>
      <c r="AF99" s="20"/>
      <c r="AG99" s="7"/>
      <c r="AH99" s="69" t="str">
        <f t="shared" si="50"/>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513">
        <f t="shared" si="51"/>
        <v>16</v>
      </c>
      <c r="D100" s="514"/>
      <c r="E100" s="475" t="str">
        <f>取組リスト!B18</f>
        <v>再エネ設備（太陽光発電等）の導入や再エネ電力の調達</v>
      </c>
      <c r="F100" s="476"/>
      <c r="G100" s="476"/>
      <c r="H100" s="476"/>
      <c r="I100" s="476"/>
      <c r="J100" s="476"/>
      <c r="K100" s="476"/>
      <c r="L100" s="476"/>
      <c r="M100" s="477"/>
      <c r="N100" s="27"/>
      <c r="O100" s="47" t="s">
        <v>4093</v>
      </c>
      <c r="P100" s="47"/>
      <c r="Q100" s="47"/>
      <c r="R100" s="47" t="s">
        <v>4227</v>
      </c>
      <c r="S100" s="47"/>
      <c r="T100" s="47"/>
      <c r="U100" s="47" t="s">
        <v>4094</v>
      </c>
      <c r="V100" s="47"/>
      <c r="W100" s="47"/>
      <c r="X100" s="47"/>
      <c r="Y100" s="47"/>
      <c r="Z100" s="28"/>
      <c r="AA100" s="513" t="str">
        <f>'入力シート（2026年度提出用）'!AH100</f>
        <v>未選択</v>
      </c>
      <c r="AB100" s="539"/>
      <c r="AC100" s="539"/>
      <c r="AD100" s="514"/>
      <c r="AE100" s="13"/>
      <c r="AF100" s="20"/>
      <c r="AG100" s="7"/>
      <c r="AH100" s="69" t="str">
        <f t="shared" ref="AH100" si="52">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513">
        <f t="shared" si="51"/>
        <v>17</v>
      </c>
      <c r="D101" s="514"/>
      <c r="E101" s="569" t="str">
        <f>IF('入力シート（2026年度提出用）'!AH101="項目設定なし","（自由記述欄）",'入力シート（2026年度提出用）'!E101)</f>
        <v>（自由記述欄）</v>
      </c>
      <c r="F101" s="570"/>
      <c r="G101" s="570"/>
      <c r="H101" s="570"/>
      <c r="I101" s="570"/>
      <c r="J101" s="570"/>
      <c r="K101" s="570"/>
      <c r="L101" s="570"/>
      <c r="M101" s="571"/>
      <c r="N101" s="27"/>
      <c r="O101" s="47" t="s">
        <v>4093</v>
      </c>
      <c r="P101" s="47"/>
      <c r="Q101" s="47"/>
      <c r="R101" s="47" t="s">
        <v>4227</v>
      </c>
      <c r="S101" s="47"/>
      <c r="T101" s="47"/>
      <c r="U101" s="47"/>
      <c r="V101" s="47"/>
      <c r="W101" s="47"/>
      <c r="X101" s="47"/>
      <c r="Y101" s="47"/>
      <c r="Z101" s="28"/>
      <c r="AA101" s="513" t="str">
        <f>IF('入力シート（2026年度提出用）'!AH101="項目設定なし","-",'入力シート（2026年度提出用）'!AH101)</f>
        <v>-</v>
      </c>
      <c r="AB101" s="539"/>
      <c r="AC101" s="539"/>
      <c r="AD101" s="514"/>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513">
        <f t="shared" si="51"/>
        <v>18</v>
      </c>
      <c r="D102" s="514"/>
      <c r="E102" s="569" t="str">
        <f>IF('入力シート（2026年度提出用）'!AH102="項目設定なし","（自由記述欄）",'入力シート（2026年度提出用）'!E102)</f>
        <v>（自由記述欄）</v>
      </c>
      <c r="F102" s="570"/>
      <c r="G102" s="570"/>
      <c r="H102" s="570"/>
      <c r="I102" s="570"/>
      <c r="J102" s="570"/>
      <c r="K102" s="570"/>
      <c r="L102" s="570"/>
      <c r="M102" s="571"/>
      <c r="N102" s="27"/>
      <c r="O102" s="47" t="s">
        <v>4093</v>
      </c>
      <c r="P102" s="47"/>
      <c r="Q102" s="47"/>
      <c r="R102" s="47" t="s">
        <v>4227</v>
      </c>
      <c r="S102" s="47"/>
      <c r="T102" s="47"/>
      <c r="U102" s="47"/>
      <c r="V102" s="47"/>
      <c r="W102" s="47"/>
      <c r="X102" s="47"/>
      <c r="Y102" s="47"/>
      <c r="Z102" s="28"/>
      <c r="AA102" s="513" t="str">
        <f>IF('入力シート（2026年度提出用）'!AH102="項目設定なし","-",'入力シート（2026年度提出用）'!AH102)</f>
        <v>-</v>
      </c>
      <c r="AB102" s="539"/>
      <c r="AC102" s="539"/>
      <c r="AD102" s="514"/>
      <c r="AE102" s="13"/>
      <c r="AF102" s="20"/>
      <c r="AG102" s="7"/>
      <c r="AH102" s="69" t="str">
        <f t="shared" ref="AH102:AH105" si="53">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513">
        <f t="shared" si="51"/>
        <v>19</v>
      </c>
      <c r="D103" s="514"/>
      <c r="E103" s="569" t="str">
        <f>IF('入力シート（2026年度提出用）'!AH103="項目設定なし","（自由記述欄）",'入力シート（2026年度提出用）'!E103)</f>
        <v>（自由記述欄）</v>
      </c>
      <c r="F103" s="570"/>
      <c r="G103" s="570"/>
      <c r="H103" s="570"/>
      <c r="I103" s="570"/>
      <c r="J103" s="570"/>
      <c r="K103" s="570"/>
      <c r="L103" s="570"/>
      <c r="M103" s="571"/>
      <c r="N103" s="27"/>
      <c r="O103" s="47" t="s">
        <v>4093</v>
      </c>
      <c r="P103" s="47"/>
      <c r="Q103" s="47"/>
      <c r="R103" s="47" t="s">
        <v>4227</v>
      </c>
      <c r="S103" s="47"/>
      <c r="T103" s="47"/>
      <c r="U103" s="47"/>
      <c r="V103" s="47"/>
      <c r="W103" s="47"/>
      <c r="X103" s="47"/>
      <c r="Y103" s="47"/>
      <c r="Z103" s="28"/>
      <c r="AA103" s="513" t="str">
        <f>IF('入力シート（2026年度提出用）'!AH103="項目設定なし","-",'入力シート（2026年度提出用）'!AH103)</f>
        <v>-</v>
      </c>
      <c r="AB103" s="539"/>
      <c r="AC103" s="539"/>
      <c r="AD103" s="514"/>
      <c r="AE103" s="13"/>
      <c r="AF103" s="20"/>
      <c r="AG103" s="7"/>
      <c r="AH103" s="69" t="str">
        <f t="shared" si="53"/>
        <v>項目設定なし</v>
      </c>
      <c r="AI103" s="70"/>
      <c r="AJ103" s="26"/>
      <c r="AK103" s="20"/>
      <c r="AL103" s="42" t="str">
        <f>基本設定シート!$B$11&amp;"年度"</f>
        <v>2026年度</v>
      </c>
      <c r="AM103" s="42">
        <f>COUNTIFS($AG$101:$AG$105,1,$AH$101:$AH$105,"&lt;&gt;項目設定なし")</f>
        <v>0</v>
      </c>
      <c r="AN103" s="42">
        <f>COUNTIFS($AG$101:$AG$105,2,$AH$101:$AH$105,"&lt;&gt;項目設定なし")</f>
        <v>0</v>
      </c>
      <c r="AO103" s="42" t="s">
        <v>27</v>
      </c>
      <c r="AP103" s="42" t="s">
        <v>27</v>
      </c>
      <c r="AQ103" s="42">
        <f>COUNTIF($AH$101:$AH$105,"&lt;&gt;項目設定なし")</f>
        <v>0</v>
      </c>
      <c r="AR103" s="72">
        <f>IF(AQ103=0,0,AM103/AQ103)</f>
        <v>0</v>
      </c>
      <c r="AS103" s="72">
        <f>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513">
        <f t="shared" si="51"/>
        <v>20</v>
      </c>
      <c r="D104" s="514"/>
      <c r="E104" s="569" t="str">
        <f>IF('入力シート（2026年度提出用）'!AH104="項目設定なし","（自由記述欄）",'入力シート（2026年度提出用）'!E104)</f>
        <v>（自由記述欄）</v>
      </c>
      <c r="F104" s="570"/>
      <c r="G104" s="570"/>
      <c r="H104" s="570"/>
      <c r="I104" s="570"/>
      <c r="J104" s="570"/>
      <c r="K104" s="570"/>
      <c r="L104" s="570"/>
      <c r="M104" s="571"/>
      <c r="N104" s="27"/>
      <c r="O104" s="47" t="s">
        <v>4093</v>
      </c>
      <c r="P104" s="47"/>
      <c r="Q104" s="47"/>
      <c r="R104" s="47" t="s">
        <v>4227</v>
      </c>
      <c r="S104" s="47"/>
      <c r="T104" s="47"/>
      <c r="U104" s="47"/>
      <c r="V104" s="47"/>
      <c r="W104" s="47"/>
      <c r="X104" s="47"/>
      <c r="Y104" s="47"/>
      <c r="Z104" s="28"/>
      <c r="AA104" s="513" t="str">
        <f>IF('入力シート（2026年度提出用）'!AH104="項目設定なし","-",'入力シート（2026年度提出用）'!AH104)</f>
        <v>-</v>
      </c>
      <c r="AB104" s="539"/>
      <c r="AC104" s="539"/>
      <c r="AD104" s="514"/>
      <c r="AE104" s="13"/>
      <c r="AF104" s="20"/>
      <c r="AG104" s="7"/>
      <c r="AH104" s="69" t="str">
        <f t="shared" si="53"/>
        <v>項目設定なし</v>
      </c>
      <c r="AI104" s="70"/>
      <c r="AJ104" s="26"/>
      <c r="AK104" s="20"/>
      <c r="AL104" s="42" t="str">
        <f>IF(基本設定シート!$B$11=基本設定シート!$C$8,"",基本設定シート!$B$11+1&amp;"年度")</f>
        <v>2027年度</v>
      </c>
      <c r="AM104" s="42"/>
      <c r="AN104" s="42"/>
      <c r="AO104" s="42"/>
      <c r="AP104" s="42"/>
      <c r="AQ104" s="42"/>
      <c r="AR104" s="42"/>
      <c r="AS104" s="24"/>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513">
        <f t="shared" si="51"/>
        <v>21</v>
      </c>
      <c r="D105" s="514"/>
      <c r="E105" s="569" t="str">
        <f>IF('入力シート（2026年度提出用）'!AH105="項目設定なし","（自由記述欄）",'入力シート（2026年度提出用）'!E105)</f>
        <v>（自由記述欄）</v>
      </c>
      <c r="F105" s="570"/>
      <c r="G105" s="570"/>
      <c r="H105" s="570"/>
      <c r="I105" s="570"/>
      <c r="J105" s="570"/>
      <c r="K105" s="570"/>
      <c r="L105" s="570"/>
      <c r="M105" s="571"/>
      <c r="N105" s="27"/>
      <c r="O105" s="47" t="s">
        <v>4093</v>
      </c>
      <c r="P105" s="47"/>
      <c r="Q105" s="47"/>
      <c r="R105" s="47" t="s">
        <v>4227</v>
      </c>
      <c r="S105" s="47"/>
      <c r="T105" s="47"/>
      <c r="U105" s="47"/>
      <c r="V105" s="47"/>
      <c r="W105" s="47"/>
      <c r="X105" s="47"/>
      <c r="Y105" s="47"/>
      <c r="Z105" s="28"/>
      <c r="AA105" s="513" t="str">
        <f>IF('入力シート（2026年度提出用）'!AH105="項目設定なし","-",'入力シート（2026年度提出用）'!AH105)</f>
        <v>-</v>
      </c>
      <c r="AB105" s="539"/>
      <c r="AC105" s="539"/>
      <c r="AD105" s="514"/>
      <c r="AE105" s="13"/>
      <c r="AF105" s="20"/>
      <c r="AG105" s="7"/>
      <c r="AH105" s="69" t="str">
        <f t="shared" si="53"/>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ver260401-2</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KPhOTndkUajEupg4vq537yknTatVgaKwm25k9x/m38Ie8VitmgXBTFoLUzL4YRIUbtMgS+eupYOLlu/WU9+4yw==" saltValue="db0JfC/mfCNxpCEc4L1Pug==" spinCount="100000" sheet="1" objects="1" scenarios="1" selectLockedCells="1"/>
  <mergeCells count="288">
    <mergeCell ref="C100:D100"/>
    <mergeCell ref="E100:M100"/>
    <mergeCell ref="AA100:AD100"/>
    <mergeCell ref="C99:D99"/>
    <mergeCell ref="C101:D101"/>
    <mergeCell ref="C102:D102"/>
    <mergeCell ref="C103:D103"/>
    <mergeCell ref="C104:D104"/>
    <mergeCell ref="C105:D105"/>
    <mergeCell ref="AA102:AD102"/>
    <mergeCell ref="AA103:AD103"/>
    <mergeCell ref="AA104:AD104"/>
    <mergeCell ref="AA105:AD105"/>
    <mergeCell ref="E105:M105"/>
    <mergeCell ref="E101:M101"/>
    <mergeCell ref="E102:M102"/>
    <mergeCell ref="E103:M103"/>
    <mergeCell ref="E104:M104"/>
    <mergeCell ref="E99:M99"/>
    <mergeCell ref="C91:D91"/>
    <mergeCell ref="C92:D92"/>
    <mergeCell ref="C93:D93"/>
    <mergeCell ref="C94:D94"/>
    <mergeCell ref="C95:D95"/>
    <mergeCell ref="C96:D96"/>
    <mergeCell ref="C97:D97"/>
    <mergeCell ref="H39:L39"/>
    <mergeCell ref="H40:L40"/>
    <mergeCell ref="H41:L41"/>
    <mergeCell ref="H42:L42"/>
    <mergeCell ref="H43:L43"/>
    <mergeCell ref="H44:L44"/>
    <mergeCell ref="H45:L45"/>
    <mergeCell ref="H46:L46"/>
    <mergeCell ref="H47:L47"/>
    <mergeCell ref="C61:I61"/>
    <mergeCell ref="J61:L61"/>
    <mergeCell ref="C98:D98"/>
    <mergeCell ref="B48:E48"/>
    <mergeCell ref="F48:G48"/>
    <mergeCell ref="C84:D84"/>
    <mergeCell ref="C85:D85"/>
    <mergeCell ref="C86:D86"/>
    <mergeCell ref="C87:D87"/>
    <mergeCell ref="C88:D88"/>
    <mergeCell ref="C89:D89"/>
    <mergeCell ref="B65:M65"/>
    <mergeCell ref="C67:H67"/>
    <mergeCell ref="E89:M89"/>
    <mergeCell ref="E90:M90"/>
    <mergeCell ref="E91:M91"/>
    <mergeCell ref="E92:M92"/>
    <mergeCell ref="E93:M93"/>
    <mergeCell ref="E88:M88"/>
    <mergeCell ref="E94:M94"/>
    <mergeCell ref="E95:M95"/>
    <mergeCell ref="E96:M96"/>
    <mergeCell ref="E97:M97"/>
    <mergeCell ref="E98:M98"/>
    <mergeCell ref="H48:L48"/>
    <mergeCell ref="C90:D90"/>
    <mergeCell ref="B37:G37"/>
    <mergeCell ref="B39:E39"/>
    <mergeCell ref="F39:G39"/>
    <mergeCell ref="AI72:AK72"/>
    <mergeCell ref="AL72:AM72"/>
    <mergeCell ref="U61:V61"/>
    <mergeCell ref="Z61:AA61"/>
    <mergeCell ref="AB61:AC61"/>
    <mergeCell ref="AI70:AK70"/>
    <mergeCell ref="AL70:AM70"/>
    <mergeCell ref="AI71:AK71"/>
    <mergeCell ref="AL71:AM71"/>
    <mergeCell ref="N65:T65"/>
    <mergeCell ref="U65:AD65"/>
    <mergeCell ref="B52:D53"/>
    <mergeCell ref="B55:E55"/>
    <mergeCell ref="F55:V55"/>
    <mergeCell ref="B40:E42"/>
    <mergeCell ref="B43:E45"/>
    <mergeCell ref="B46:E47"/>
    <mergeCell ref="F40:G42"/>
    <mergeCell ref="F43:G45"/>
    <mergeCell ref="F46:G47"/>
    <mergeCell ref="B59:G59"/>
    <mergeCell ref="AA94:AD94"/>
    <mergeCell ref="AA95:AD95"/>
    <mergeCell ref="AA96:AD96"/>
    <mergeCell ref="AA97:AD97"/>
    <mergeCell ref="AA98:AD98"/>
    <mergeCell ref="AA99:AD99"/>
    <mergeCell ref="AA101:AD101"/>
    <mergeCell ref="C4:E4"/>
    <mergeCell ref="B6:E6"/>
    <mergeCell ref="N6:O6"/>
    <mergeCell ref="W6:X6"/>
    <mergeCell ref="B8:E8"/>
    <mergeCell ref="F8:L8"/>
    <mergeCell ref="N8:O8"/>
    <mergeCell ref="P8:U8"/>
    <mergeCell ref="W8:X8"/>
    <mergeCell ref="B11:E11"/>
    <mergeCell ref="F11:L11"/>
    <mergeCell ref="P11:U11"/>
    <mergeCell ref="Y11:AD11"/>
    <mergeCell ref="N11:O11"/>
    <mergeCell ref="W11:X11"/>
    <mergeCell ref="W14:X14"/>
    <mergeCell ref="Y14:AD14"/>
    <mergeCell ref="AI8:AJ8"/>
    <mergeCell ref="AK8:AO8"/>
    <mergeCell ref="B9:E9"/>
    <mergeCell ref="F10:L10"/>
    <mergeCell ref="N9:O9"/>
    <mergeCell ref="W9:X9"/>
    <mergeCell ref="AI9:AJ9"/>
    <mergeCell ref="AK9:AO9"/>
    <mergeCell ref="B10:E10"/>
    <mergeCell ref="F9:G9"/>
    <mergeCell ref="P9:Q9"/>
    <mergeCell ref="R9:S9"/>
    <mergeCell ref="T9:U9"/>
    <mergeCell ref="Y9:Z9"/>
    <mergeCell ref="AA9:AB9"/>
    <mergeCell ref="AC9:AD9"/>
    <mergeCell ref="N10:O10"/>
    <mergeCell ref="W10:X10"/>
    <mergeCell ref="Y8:AD8"/>
    <mergeCell ref="B18:G18"/>
    <mergeCell ref="AA18:AD18"/>
    <mergeCell ref="W13:X13"/>
    <mergeCell ref="Y13:AD13"/>
    <mergeCell ref="N12:O12"/>
    <mergeCell ref="W12:X12"/>
    <mergeCell ref="Y12:AD12"/>
    <mergeCell ref="BP18:BR18"/>
    <mergeCell ref="AI22:AJ22"/>
    <mergeCell ref="AK22:AL22"/>
    <mergeCell ref="AM22:AN22"/>
    <mergeCell ref="B20:I22"/>
    <mergeCell ref="AP26:AQ26"/>
    <mergeCell ref="BS20:CF20"/>
    <mergeCell ref="J20:W20"/>
    <mergeCell ref="X20:Y22"/>
    <mergeCell ref="J21:J22"/>
    <mergeCell ref="K21:S21"/>
    <mergeCell ref="T21:V21"/>
    <mergeCell ref="W21:W22"/>
    <mergeCell ref="AO22:AQ22"/>
    <mergeCell ref="CF21:CF22"/>
    <mergeCell ref="BS21:BS22"/>
    <mergeCell ref="BT21:CB21"/>
    <mergeCell ref="CC21:CE21"/>
    <mergeCell ref="AP25:AQ25"/>
    <mergeCell ref="BI22:BJ22"/>
    <mergeCell ref="BK22:BL22"/>
    <mergeCell ref="BP20:BR22"/>
    <mergeCell ref="BP23:BP29"/>
    <mergeCell ref="AP28:AQ28"/>
    <mergeCell ref="D29:W29"/>
    <mergeCell ref="E26:I26"/>
    <mergeCell ref="E28:I28"/>
    <mergeCell ref="BD78:BE78"/>
    <mergeCell ref="AI77:AK77"/>
    <mergeCell ref="AL77:AM77"/>
    <mergeCell ref="AV77:AW77"/>
    <mergeCell ref="AX77:AY77"/>
    <mergeCell ref="BB77:BC77"/>
    <mergeCell ref="BD77:BE77"/>
    <mergeCell ref="AI78:AK78"/>
    <mergeCell ref="AL78:AM78"/>
    <mergeCell ref="AV78:AW78"/>
    <mergeCell ref="BB78:BC78"/>
    <mergeCell ref="M61:N61"/>
    <mergeCell ref="O61:P61"/>
    <mergeCell ref="S61:T61"/>
    <mergeCell ref="AV83:AW83"/>
    <mergeCell ref="AX83:AY83"/>
    <mergeCell ref="BB81:BC81"/>
    <mergeCell ref="BD81:BE81"/>
    <mergeCell ref="BB82:BC82"/>
    <mergeCell ref="BD82:BE82"/>
    <mergeCell ref="BD79:BE79"/>
    <mergeCell ref="AV80:AW80"/>
    <mergeCell ref="AX80:AY80"/>
    <mergeCell ref="AZ80:BA80"/>
    <mergeCell ref="BB80:BC80"/>
    <mergeCell ref="BD80:BE80"/>
    <mergeCell ref="AV79:AW79"/>
    <mergeCell ref="AX79:AY79"/>
    <mergeCell ref="AZ79:BA79"/>
    <mergeCell ref="BB79:BC79"/>
    <mergeCell ref="AI79:AK79"/>
    <mergeCell ref="AL79:AM79"/>
    <mergeCell ref="AZ77:BA77"/>
    <mergeCell ref="AI76:AK76"/>
    <mergeCell ref="AL76:AM76"/>
    <mergeCell ref="BB83:BC83"/>
    <mergeCell ref="BD83:BE83"/>
    <mergeCell ref="E84:M84"/>
    <mergeCell ref="N84:Z84"/>
    <mergeCell ref="AV84:AW84"/>
    <mergeCell ref="AX84:AY84"/>
    <mergeCell ref="AZ84:BA84"/>
    <mergeCell ref="AA84:AD84"/>
    <mergeCell ref="AA85:AD85"/>
    <mergeCell ref="BB84:BC84"/>
    <mergeCell ref="BD84:BE84"/>
    <mergeCell ref="E85:M85"/>
    <mergeCell ref="AV85:AW85"/>
    <mergeCell ref="AX85:AY85"/>
    <mergeCell ref="AZ85:BA85"/>
    <mergeCell ref="BB85:BC85"/>
    <mergeCell ref="BD85:BE85"/>
    <mergeCell ref="BB87:BC87"/>
    <mergeCell ref="BD87:BE87"/>
    <mergeCell ref="E86:M86"/>
    <mergeCell ref="AV86:AW86"/>
    <mergeCell ref="AX86:AY86"/>
    <mergeCell ref="AZ86:BA86"/>
    <mergeCell ref="BB86:BC86"/>
    <mergeCell ref="BD86:BE86"/>
    <mergeCell ref="AA86:AD86"/>
    <mergeCell ref="AA87:AD87"/>
    <mergeCell ref="AV87:AW87"/>
    <mergeCell ref="AX87:AY87"/>
    <mergeCell ref="E87:M87"/>
    <mergeCell ref="AI74:AK74"/>
    <mergeCell ref="AL74:AM74"/>
    <mergeCell ref="AI75:AK75"/>
    <mergeCell ref="AL75:AM75"/>
    <mergeCell ref="AZ78:BA78"/>
    <mergeCell ref="AA88:AD88"/>
    <mergeCell ref="AA89:AD89"/>
    <mergeCell ref="AZ88:BA88"/>
    <mergeCell ref="AZ83:BA83"/>
    <mergeCell ref="AV82:AW82"/>
    <mergeCell ref="AX82:AY82"/>
    <mergeCell ref="AZ82:BA82"/>
    <mergeCell ref="AX78:AY78"/>
    <mergeCell ref="AA90:AD90"/>
    <mergeCell ref="AA91:AD91"/>
    <mergeCell ref="AA92:AD92"/>
    <mergeCell ref="AA93:AD93"/>
    <mergeCell ref="BB88:BC88"/>
    <mergeCell ref="BD88:BE88"/>
    <mergeCell ref="P12:U12"/>
    <mergeCell ref="AP23:AQ23"/>
    <mergeCell ref="AP24:AQ24"/>
    <mergeCell ref="AP29:AQ29"/>
    <mergeCell ref="AP30:AQ30"/>
    <mergeCell ref="AP31:AQ31"/>
    <mergeCell ref="AP32:AQ32"/>
    <mergeCell ref="AP33:AQ33"/>
    <mergeCell ref="AP34:AQ34"/>
    <mergeCell ref="AV88:AW88"/>
    <mergeCell ref="AX88:AY88"/>
    <mergeCell ref="AP27:AQ27"/>
    <mergeCell ref="AZ87:BA87"/>
    <mergeCell ref="AV81:AW81"/>
    <mergeCell ref="AX81:AY81"/>
    <mergeCell ref="AZ81:BA81"/>
    <mergeCell ref="AI73:AK73"/>
    <mergeCell ref="AL73:AM73"/>
    <mergeCell ref="BP30:BP35"/>
    <mergeCell ref="AJ4:AK4"/>
    <mergeCell ref="B50:G50"/>
    <mergeCell ref="E52:I52"/>
    <mergeCell ref="E53:I53"/>
    <mergeCell ref="J52:K52"/>
    <mergeCell ref="J53:K53"/>
    <mergeCell ref="O52:S52"/>
    <mergeCell ref="T52:U52"/>
    <mergeCell ref="O53:S53"/>
    <mergeCell ref="T53:U53"/>
    <mergeCell ref="N52:N53"/>
    <mergeCell ref="E23:I23"/>
    <mergeCell ref="E24:I24"/>
    <mergeCell ref="E27:I27"/>
    <mergeCell ref="E30:I30"/>
    <mergeCell ref="E31:I31"/>
    <mergeCell ref="E32:I32"/>
    <mergeCell ref="E33:I33"/>
    <mergeCell ref="E25:I25"/>
    <mergeCell ref="E34:I34"/>
    <mergeCell ref="D35:W35"/>
    <mergeCell ref="B23:C29"/>
    <mergeCell ref="B30:C35"/>
  </mergeCells>
  <phoneticPr fontId="4"/>
  <conditionalFormatting sqref="D28:I28">
    <cfRule type="expression" dxfId="103" priority="37">
      <formula>$AG$28="選択あり"</formula>
    </cfRule>
  </conditionalFormatting>
  <conditionalFormatting sqref="D34:I34">
    <cfRule type="expression" dxfId="102" priority="8">
      <formula>$AG$34="選択あり"</formula>
    </cfRule>
  </conditionalFormatting>
  <conditionalFormatting sqref="E101:M105">
    <cfRule type="expression" dxfId="101" priority="34">
      <formula>AH101&lt;&gt;"項目設定なし"</formula>
    </cfRule>
    <cfRule type="expression" dxfId="100" priority="44">
      <formula>AND($E101&lt;&gt;"（自由記述欄）",$E101&lt;&gt;"")</formula>
    </cfRule>
  </conditionalFormatting>
  <conditionalFormatting sqref="F8:L8 P8:U8 Y8:AD8 F10:L11 P10:U11 Y10:AD14 K23:V28 BT23:CE28 K30:V34">
    <cfRule type="expression" dxfId="99" priority="41">
      <formula>F8&lt;&gt;""</formula>
    </cfRule>
  </conditionalFormatting>
  <conditionalFormatting sqref="F55:V55">
    <cfRule type="expression" dxfId="98" priority="22">
      <formula>COUNTIF($F$55,"*記入例*")</formula>
    </cfRule>
    <cfRule type="expression" dxfId="97" priority="29">
      <formula>$F$55&lt;&gt;""</formula>
    </cfRule>
  </conditionalFormatting>
  <conditionalFormatting sqref="H4">
    <cfRule type="expression" dxfId="96" priority="43">
      <formula>$H$4&lt;&gt;""</formula>
    </cfRule>
  </conditionalFormatting>
  <conditionalFormatting sqref="H9:J9">
    <cfRule type="expression" dxfId="95" priority="14">
      <formula>H9&lt;&gt;""</formula>
    </cfRule>
  </conditionalFormatting>
  <conditionalFormatting sqref="H40:M42">
    <cfRule type="expression" dxfId="94" priority="3">
      <formula>$F$40=""</formula>
    </cfRule>
  </conditionalFormatting>
  <conditionalFormatting sqref="H43:M45">
    <cfRule type="expression" dxfId="93" priority="2">
      <formula>$F$43=""</formula>
    </cfRule>
  </conditionalFormatting>
  <conditionalFormatting sqref="H46:M47">
    <cfRule type="expression" dxfId="92" priority="1">
      <formula>$F$46=""</formula>
    </cfRule>
  </conditionalFormatting>
  <conditionalFormatting sqref="J4">
    <cfRule type="expression" dxfId="91" priority="42">
      <formula>$J$4&lt;&gt;""</formula>
    </cfRule>
  </conditionalFormatting>
  <conditionalFormatting sqref="M40:M47 F40:G47">
    <cfRule type="expression" dxfId="90" priority="4">
      <formula>F40&lt;&gt;""</formula>
    </cfRule>
  </conditionalFormatting>
  <conditionalFormatting sqref="M61:N61">
    <cfRule type="expression" dxfId="89" priority="35">
      <formula>$M$61&lt;&gt;""</formula>
    </cfRule>
  </conditionalFormatting>
  <conditionalFormatting sqref="O85:O105">
    <cfRule type="expression" dxfId="88" priority="28">
      <formula>$AG85=1</formula>
    </cfRule>
  </conditionalFormatting>
  <conditionalFormatting sqref="P12">
    <cfRule type="expression" dxfId="87" priority="39">
      <formula>P12&lt;&gt;""</formula>
    </cfRule>
  </conditionalFormatting>
  <conditionalFormatting sqref="P9:Q9">
    <cfRule type="expression" dxfId="86" priority="13">
      <formula>$AG$9=1</formula>
    </cfRule>
  </conditionalFormatting>
  <conditionalFormatting sqref="R85:R105">
    <cfRule type="expression" dxfId="85" priority="27">
      <formula>$AG85=2</formula>
    </cfRule>
  </conditionalFormatting>
  <conditionalFormatting sqref="R9:S9">
    <cfRule type="expression" dxfId="84" priority="12">
      <formula>$AG$9=2</formula>
    </cfRule>
  </conditionalFormatting>
  <conditionalFormatting sqref="T53:V53">
    <cfRule type="expression" dxfId="83" priority="20">
      <formula>$T$52&lt;0</formula>
    </cfRule>
  </conditionalFormatting>
  <conditionalFormatting sqref="U85:U105">
    <cfRule type="expression" dxfId="82" priority="26">
      <formula>$AG85=3</formula>
    </cfRule>
  </conditionalFormatting>
  <conditionalFormatting sqref="V52">
    <cfRule type="expression" dxfId="81" priority="21">
      <formula>$T$52&lt;0</formula>
    </cfRule>
  </conditionalFormatting>
  <conditionalFormatting sqref="X85:X105">
    <cfRule type="expression" dxfId="80" priority="25">
      <formula>$AG85=4</formula>
    </cfRule>
  </conditionalFormatting>
  <conditionalFormatting sqref="X28:Y28">
    <cfRule type="expression" dxfId="79" priority="6">
      <formula>$AO$28=""</formula>
    </cfRule>
  </conditionalFormatting>
  <conditionalFormatting sqref="X34:Y34">
    <cfRule type="expression" dxfId="78" priority="5">
      <formula>$AO$34=""</formula>
    </cfRule>
  </conditionalFormatting>
  <conditionalFormatting sqref="Y9:Z9">
    <cfRule type="expression" dxfId="77" priority="11">
      <formula>$AH$9=1</formula>
    </cfRule>
  </conditionalFormatting>
  <conditionalFormatting sqref="AA9:AB9">
    <cfRule type="expression" dxfId="76" priority="10">
      <formula>$AH$9=2</formula>
    </cfRule>
  </conditionalFormatting>
  <conditionalFormatting sqref="AC9:AD9">
    <cfRule type="expression" dxfId="75" priority="9">
      <formula>$AH$9=3</formula>
    </cfRule>
  </conditionalFormatting>
  <conditionalFormatting sqref="BT30:CE34">
    <cfRule type="expression" dxfId="74" priority="7">
      <formula>BT30&lt;&gt;""</formula>
    </cfRule>
  </conditionalFormatting>
  <dataValidations count="7">
    <dataValidation type="whole" errorStyle="warning" imeMode="halfAlpha" allowBlank="1" showInputMessage="1" showErrorMessage="1" error="入力値に誤りがあります。" sqref="J4" xr:uid="{FA20A498-CFD8-4881-9D8D-A74CBADC104D}">
      <formula1>1</formula1>
      <formula2>IF(OR(H4=2,H4=4,H4=6,H4=9,H4=11),30,31)</formula2>
    </dataValidation>
    <dataValidation type="whole" errorStyle="warning" imeMode="halfAlpha" allowBlank="1" showInputMessage="1" showErrorMessage="1" error="4～8の数値（整数）を入力してください。" sqref="H4" xr:uid="{47C3B3B4-5609-4432-87AF-3EFAB24E3F47}">
      <formula1>4</formula1>
      <formula2>8</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E068FF74-B3FE-4716-B6E6-EA377AFCC254}">
      <formula1>AND(M61&lt;=100,M61&gt;=0)</formula1>
    </dataValidation>
    <dataValidation type="decimal" imeMode="halfAlpha" allowBlank="1" showInputMessage="1" showErrorMessage="1" sqref="BT23:CE28 K23:V28 BT30:CE34" xr:uid="{F39F6699-BDE7-4AF5-86DF-95A1786E0249}">
      <formula1>0</formula1>
      <formula2>999999999</formula2>
    </dataValidation>
    <dataValidation imeMode="hiragana" allowBlank="1" showInputMessage="1" showErrorMessage="1" sqref="F55:V55 Y11:AD12 F8:L8 F10:L11 P8:U8 P11:U11 Y8:AD8 E101:M105" xr:uid="{8C0AA884-A708-4B73-A167-C369D64560D6}"/>
    <dataValidation imeMode="halfAlpha" allowBlank="1" showInputMessage="1" showErrorMessage="1" sqref="H9 J9 Q10 S10 Z10 AB10 Y13:AD14" xr:uid="{4EC6D30D-9329-4AD7-A36B-B8E8B1F583FE}"/>
    <dataValidation type="list" allowBlank="1" showInputMessage="1" showErrorMessage="1" sqref="C67:H67" xr:uid="{37D4EDBE-7994-4AF7-AE1C-3937FD72AA44}">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16383"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1" r:id="rId4" name="Option Button 3">
              <controlPr defaultSize="0" autoFill="0" autoLine="0" autoPict="0">
                <anchor moveWithCells="1">
                  <from>
                    <xdr:col>13</xdr:col>
                    <xdr:colOff>371475</xdr:colOff>
                    <xdr:row>84</xdr:row>
                    <xdr:rowOff>66675</xdr:rowOff>
                  </from>
                  <to>
                    <xdr:col>15</xdr:col>
                    <xdr:colOff>295275</xdr:colOff>
                    <xdr:row>84</xdr:row>
                    <xdr:rowOff>295275</xdr:rowOff>
                  </to>
                </anchor>
              </controlPr>
            </control>
          </mc:Choice>
        </mc:AlternateContent>
        <mc:AlternateContent xmlns:mc="http://schemas.openxmlformats.org/markup-compatibility/2006">
          <mc:Choice Requires="x14">
            <control shapeId="12292" r:id="rId5" name="Option Button 4">
              <controlPr defaultSize="0" autoFill="0" autoLine="0" autoPict="0">
                <anchor moveWithCells="1">
                  <from>
                    <xdr:col>16</xdr:col>
                    <xdr:colOff>371475</xdr:colOff>
                    <xdr:row>84</xdr:row>
                    <xdr:rowOff>66675</xdr:rowOff>
                  </from>
                  <to>
                    <xdr:col>18</xdr:col>
                    <xdr:colOff>571500</xdr:colOff>
                    <xdr:row>84</xdr:row>
                    <xdr:rowOff>295275</xdr:rowOff>
                  </to>
                </anchor>
              </controlPr>
            </control>
          </mc:Choice>
        </mc:AlternateContent>
        <mc:AlternateContent xmlns:mc="http://schemas.openxmlformats.org/markup-compatibility/2006">
          <mc:Choice Requires="x14">
            <control shapeId="12293" r:id="rId6" name="Option Button 5">
              <controlPr defaultSize="0" autoFill="0" autoLine="0" autoPict="0">
                <anchor moveWithCells="1">
                  <from>
                    <xdr:col>19</xdr:col>
                    <xdr:colOff>381000</xdr:colOff>
                    <xdr:row>84</xdr:row>
                    <xdr:rowOff>66675</xdr:rowOff>
                  </from>
                  <to>
                    <xdr:col>21</xdr:col>
                    <xdr:colOff>295275</xdr:colOff>
                    <xdr:row>84</xdr:row>
                    <xdr:rowOff>295275</xdr:rowOff>
                  </to>
                </anchor>
              </controlPr>
            </control>
          </mc:Choice>
        </mc:AlternateContent>
        <mc:AlternateContent xmlns:mc="http://schemas.openxmlformats.org/markup-compatibility/2006">
          <mc:Choice Requires="x14">
            <control shapeId="12294" r:id="rId7" name="Option Button 6">
              <controlPr defaultSize="0" autoFill="0" autoLine="0" autoPict="0">
                <anchor moveWithCells="1">
                  <from>
                    <xdr:col>13</xdr:col>
                    <xdr:colOff>371475</xdr:colOff>
                    <xdr:row>85</xdr:row>
                    <xdr:rowOff>66675</xdr:rowOff>
                  </from>
                  <to>
                    <xdr:col>15</xdr:col>
                    <xdr:colOff>285750</xdr:colOff>
                    <xdr:row>85</xdr:row>
                    <xdr:rowOff>285750</xdr:rowOff>
                  </to>
                </anchor>
              </controlPr>
            </control>
          </mc:Choice>
        </mc:AlternateContent>
        <mc:AlternateContent xmlns:mc="http://schemas.openxmlformats.org/markup-compatibility/2006">
          <mc:Choice Requires="x14">
            <control shapeId="12295" r:id="rId8" name="Option Button 7">
              <controlPr defaultSize="0" autoFill="0" autoLine="0" autoPict="0">
                <anchor moveWithCells="1">
                  <from>
                    <xdr:col>13</xdr:col>
                    <xdr:colOff>371475</xdr:colOff>
                    <xdr:row>86</xdr:row>
                    <xdr:rowOff>66675</xdr:rowOff>
                  </from>
                  <to>
                    <xdr:col>16</xdr:col>
                    <xdr:colOff>314325</xdr:colOff>
                    <xdr:row>86</xdr:row>
                    <xdr:rowOff>285750</xdr:rowOff>
                  </to>
                </anchor>
              </controlPr>
            </control>
          </mc:Choice>
        </mc:AlternateContent>
        <mc:AlternateContent xmlns:mc="http://schemas.openxmlformats.org/markup-compatibility/2006">
          <mc:Choice Requires="x14">
            <control shapeId="12296" r:id="rId9" name="Option Button 8">
              <controlPr defaultSize="0" autoFill="0" autoLine="0" autoPict="0">
                <anchor moveWithCells="1">
                  <from>
                    <xdr:col>13</xdr:col>
                    <xdr:colOff>371475</xdr:colOff>
                    <xdr:row>87</xdr:row>
                    <xdr:rowOff>66675</xdr:rowOff>
                  </from>
                  <to>
                    <xdr:col>15</xdr:col>
                    <xdr:colOff>285750</xdr:colOff>
                    <xdr:row>87</xdr:row>
                    <xdr:rowOff>285750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13</xdr:col>
                    <xdr:colOff>371475</xdr:colOff>
                    <xdr:row>88</xdr:row>
                    <xdr:rowOff>66675</xdr:rowOff>
                  </from>
                  <to>
                    <xdr:col>15</xdr:col>
                    <xdr:colOff>361950</xdr:colOff>
                    <xdr:row>88</xdr:row>
                    <xdr:rowOff>314325</xdr:rowOff>
                  </to>
                </anchor>
              </controlPr>
            </control>
          </mc:Choice>
        </mc:AlternateContent>
        <mc:AlternateContent xmlns:mc="http://schemas.openxmlformats.org/markup-compatibility/2006">
          <mc:Choice Requires="x14">
            <control shapeId="12298" r:id="rId11" name="Option Button 10">
              <controlPr defaultSize="0" autoFill="0" autoLine="0" autoPict="0">
                <anchor moveWithCells="1">
                  <from>
                    <xdr:col>13</xdr:col>
                    <xdr:colOff>371475</xdr:colOff>
                    <xdr:row>89</xdr:row>
                    <xdr:rowOff>66675</xdr:rowOff>
                  </from>
                  <to>
                    <xdr:col>15</xdr:col>
                    <xdr:colOff>314325</xdr:colOff>
                    <xdr:row>89</xdr:row>
                    <xdr:rowOff>285750</xdr:rowOff>
                  </to>
                </anchor>
              </controlPr>
            </control>
          </mc:Choice>
        </mc:AlternateContent>
        <mc:AlternateContent xmlns:mc="http://schemas.openxmlformats.org/markup-compatibility/2006">
          <mc:Choice Requires="x14">
            <control shapeId="12299" r:id="rId12" name="Option Button 11">
              <controlPr defaultSize="0" autoFill="0" autoLine="0" autoPict="0">
                <anchor moveWithCells="1">
                  <from>
                    <xdr:col>13</xdr:col>
                    <xdr:colOff>371475</xdr:colOff>
                    <xdr:row>90</xdr:row>
                    <xdr:rowOff>66675</xdr:rowOff>
                  </from>
                  <to>
                    <xdr:col>15</xdr:col>
                    <xdr:colOff>285750</xdr:colOff>
                    <xdr:row>90</xdr:row>
                    <xdr:rowOff>314325</xdr:rowOff>
                  </to>
                </anchor>
              </controlPr>
            </control>
          </mc:Choice>
        </mc:AlternateContent>
        <mc:AlternateContent xmlns:mc="http://schemas.openxmlformats.org/markup-compatibility/2006">
          <mc:Choice Requires="x14">
            <control shapeId="12300" r:id="rId13" name="Option Button 12">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12301" r:id="rId14" name="Option Button 13">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12302" r:id="rId15" name="Option Button 14">
              <controlPr defaultSize="0" autoFill="0" autoLine="0" autoPict="0">
                <anchor moveWithCells="1">
                  <from>
                    <xdr:col>13</xdr:col>
                    <xdr:colOff>371475</xdr:colOff>
                    <xdr:row>93</xdr:row>
                    <xdr:rowOff>66675</xdr:rowOff>
                  </from>
                  <to>
                    <xdr:col>15</xdr:col>
                    <xdr:colOff>285750</xdr:colOff>
                    <xdr:row>93</xdr:row>
                    <xdr:rowOff>285750</xdr:rowOff>
                  </to>
                </anchor>
              </controlPr>
            </control>
          </mc:Choice>
        </mc:AlternateContent>
        <mc:AlternateContent xmlns:mc="http://schemas.openxmlformats.org/markup-compatibility/2006">
          <mc:Choice Requires="x14">
            <control shapeId="12303" r:id="rId16" name="Option Button 15">
              <controlPr defaultSize="0" autoFill="0" autoLine="0" autoPict="0">
                <anchor moveWithCells="1">
                  <from>
                    <xdr:col>13</xdr:col>
                    <xdr:colOff>371475</xdr:colOff>
                    <xdr:row>94</xdr:row>
                    <xdr:rowOff>66675</xdr:rowOff>
                  </from>
                  <to>
                    <xdr:col>15</xdr:col>
                    <xdr:colOff>285750</xdr:colOff>
                    <xdr:row>94</xdr:row>
                    <xdr:rowOff>285750</xdr:rowOff>
                  </to>
                </anchor>
              </controlPr>
            </control>
          </mc:Choice>
        </mc:AlternateContent>
        <mc:AlternateContent xmlns:mc="http://schemas.openxmlformats.org/markup-compatibility/2006">
          <mc:Choice Requires="x14">
            <control shapeId="12304" r:id="rId17" name="Option Button 16">
              <controlPr defaultSize="0" autoFill="0" autoLine="0" autoPict="0">
                <anchor moveWithCells="1">
                  <from>
                    <xdr:col>13</xdr:col>
                    <xdr:colOff>371475</xdr:colOff>
                    <xdr:row>95</xdr:row>
                    <xdr:rowOff>66675</xdr:rowOff>
                  </from>
                  <to>
                    <xdr:col>15</xdr:col>
                    <xdr:colOff>285750</xdr:colOff>
                    <xdr:row>95</xdr:row>
                    <xdr:rowOff>285750</xdr:rowOff>
                  </to>
                </anchor>
              </controlPr>
            </control>
          </mc:Choice>
        </mc:AlternateContent>
        <mc:AlternateContent xmlns:mc="http://schemas.openxmlformats.org/markup-compatibility/2006">
          <mc:Choice Requires="x14">
            <control shapeId="12305" r:id="rId18" name="Option Button 17">
              <controlPr defaultSize="0" autoFill="0" autoLine="0" autoPict="0">
                <anchor moveWithCells="1">
                  <from>
                    <xdr:col>13</xdr:col>
                    <xdr:colOff>371475</xdr:colOff>
                    <xdr:row>96</xdr:row>
                    <xdr:rowOff>66675</xdr:rowOff>
                  </from>
                  <to>
                    <xdr:col>15</xdr:col>
                    <xdr:colOff>285750</xdr:colOff>
                    <xdr:row>96</xdr:row>
                    <xdr:rowOff>285750</xdr:rowOff>
                  </to>
                </anchor>
              </controlPr>
            </control>
          </mc:Choice>
        </mc:AlternateContent>
        <mc:AlternateContent xmlns:mc="http://schemas.openxmlformats.org/markup-compatibility/2006">
          <mc:Choice Requires="x14">
            <control shapeId="12306"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12307" r:id="rId20" name="Option Button 19">
              <controlPr defaultSize="0" autoFill="0" autoLine="0" autoPict="0">
                <anchor moveWithCells="1">
                  <from>
                    <xdr:col>13</xdr:col>
                    <xdr:colOff>371475</xdr:colOff>
                    <xdr:row>98</xdr:row>
                    <xdr:rowOff>66675</xdr:rowOff>
                  </from>
                  <to>
                    <xdr:col>16</xdr:col>
                    <xdr:colOff>314325</xdr:colOff>
                    <xdr:row>98</xdr:row>
                    <xdr:rowOff>285750</xdr:rowOff>
                  </to>
                </anchor>
              </controlPr>
            </control>
          </mc:Choice>
        </mc:AlternateContent>
        <mc:AlternateContent xmlns:mc="http://schemas.openxmlformats.org/markup-compatibility/2006">
          <mc:Choice Requires="x14">
            <control shapeId="12310" r:id="rId21" name="Option Button 22">
              <controlPr defaultSize="0" autoFill="0" autoLine="0" autoPict="0">
                <anchor moveWithCells="1">
                  <from>
                    <xdr:col>13</xdr:col>
                    <xdr:colOff>371475</xdr:colOff>
                    <xdr:row>100</xdr:row>
                    <xdr:rowOff>66675</xdr:rowOff>
                  </from>
                  <to>
                    <xdr:col>15</xdr:col>
                    <xdr:colOff>285750</xdr:colOff>
                    <xdr:row>100</xdr:row>
                    <xdr:rowOff>285750</xdr:rowOff>
                  </to>
                </anchor>
              </controlPr>
            </control>
          </mc:Choice>
        </mc:AlternateContent>
        <mc:AlternateContent xmlns:mc="http://schemas.openxmlformats.org/markup-compatibility/2006">
          <mc:Choice Requires="x14">
            <control shapeId="12311" r:id="rId22" name="Option Button 23">
              <controlPr defaultSize="0" autoFill="0" autoLine="0" autoPict="0">
                <anchor moveWithCells="1">
                  <from>
                    <xdr:col>13</xdr:col>
                    <xdr:colOff>371475</xdr:colOff>
                    <xdr:row>101</xdr:row>
                    <xdr:rowOff>66675</xdr:rowOff>
                  </from>
                  <to>
                    <xdr:col>15</xdr:col>
                    <xdr:colOff>285750</xdr:colOff>
                    <xdr:row>101</xdr:row>
                    <xdr:rowOff>285750</xdr:rowOff>
                  </to>
                </anchor>
              </controlPr>
            </control>
          </mc:Choice>
        </mc:AlternateContent>
        <mc:AlternateContent xmlns:mc="http://schemas.openxmlformats.org/markup-compatibility/2006">
          <mc:Choice Requires="x14">
            <control shapeId="12312" r:id="rId23" name="Option Button 24">
              <controlPr defaultSize="0" autoFill="0" autoLine="0" autoPict="0">
                <anchor moveWithCells="1">
                  <from>
                    <xdr:col>13</xdr:col>
                    <xdr:colOff>371475</xdr:colOff>
                    <xdr:row>102</xdr:row>
                    <xdr:rowOff>66675</xdr:rowOff>
                  </from>
                  <to>
                    <xdr:col>15</xdr:col>
                    <xdr:colOff>285750</xdr:colOff>
                    <xdr:row>102</xdr:row>
                    <xdr:rowOff>285750</xdr:rowOff>
                  </to>
                </anchor>
              </controlPr>
            </control>
          </mc:Choice>
        </mc:AlternateContent>
        <mc:AlternateContent xmlns:mc="http://schemas.openxmlformats.org/markup-compatibility/2006">
          <mc:Choice Requires="x14">
            <control shapeId="12313" r:id="rId24" name="Option Button 25">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12314" r:id="rId25" name="Option Button 26">
              <controlPr defaultSize="0" autoFill="0" autoLine="0" autoPict="0">
                <anchor moveWithCells="1">
                  <from>
                    <xdr:col>13</xdr:col>
                    <xdr:colOff>371475</xdr:colOff>
                    <xdr:row>104</xdr:row>
                    <xdr:rowOff>66675</xdr:rowOff>
                  </from>
                  <to>
                    <xdr:col>15</xdr:col>
                    <xdr:colOff>285750</xdr:colOff>
                    <xdr:row>104</xdr:row>
                    <xdr:rowOff>285750</xdr:rowOff>
                  </to>
                </anchor>
              </controlPr>
            </control>
          </mc:Choice>
        </mc:AlternateContent>
        <mc:AlternateContent xmlns:mc="http://schemas.openxmlformats.org/markup-compatibility/2006">
          <mc:Choice Requires="x14">
            <control shapeId="12315" r:id="rId26" name="Option Button 27">
              <controlPr defaultSize="0" autoFill="0" autoLine="0" autoPict="0">
                <anchor moveWithCells="1">
                  <from>
                    <xdr:col>16</xdr:col>
                    <xdr:colOff>371475</xdr:colOff>
                    <xdr:row>85</xdr:row>
                    <xdr:rowOff>66675</xdr:rowOff>
                  </from>
                  <to>
                    <xdr:col>18</xdr:col>
                    <xdr:colOff>571500</xdr:colOff>
                    <xdr:row>85</xdr:row>
                    <xdr:rowOff>285750</xdr:rowOff>
                  </to>
                </anchor>
              </controlPr>
            </control>
          </mc:Choice>
        </mc:AlternateContent>
        <mc:AlternateContent xmlns:mc="http://schemas.openxmlformats.org/markup-compatibility/2006">
          <mc:Choice Requires="x14">
            <control shapeId="12316"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12317" r:id="rId28" name="Option Button 29">
              <controlPr defaultSize="0" autoFill="0" autoLine="0" autoPict="0">
                <anchor moveWithCells="1">
                  <from>
                    <xdr:col>16</xdr:col>
                    <xdr:colOff>371475</xdr:colOff>
                    <xdr:row>87</xdr:row>
                    <xdr:rowOff>66675</xdr:rowOff>
                  </from>
                  <to>
                    <xdr:col>18</xdr:col>
                    <xdr:colOff>619125</xdr:colOff>
                    <xdr:row>87</xdr:row>
                    <xdr:rowOff>285750</xdr:rowOff>
                  </to>
                </anchor>
              </controlPr>
            </control>
          </mc:Choice>
        </mc:AlternateContent>
        <mc:AlternateContent xmlns:mc="http://schemas.openxmlformats.org/markup-compatibility/2006">
          <mc:Choice Requires="x14">
            <control shapeId="12318"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12319" r:id="rId30" name="Option Button 31">
              <controlPr defaultSize="0" autoFill="0" autoLine="0" autoPict="0">
                <anchor moveWithCells="1">
                  <from>
                    <xdr:col>16</xdr:col>
                    <xdr:colOff>371475</xdr:colOff>
                    <xdr:row>89</xdr:row>
                    <xdr:rowOff>66675</xdr:rowOff>
                  </from>
                  <to>
                    <xdr:col>18</xdr:col>
                    <xdr:colOff>552450</xdr:colOff>
                    <xdr:row>89</xdr:row>
                    <xdr:rowOff>285750</xdr:rowOff>
                  </to>
                </anchor>
              </controlPr>
            </control>
          </mc:Choice>
        </mc:AlternateContent>
        <mc:AlternateContent xmlns:mc="http://schemas.openxmlformats.org/markup-compatibility/2006">
          <mc:Choice Requires="x14">
            <control shapeId="12320" r:id="rId31" name="Option Button 32">
              <controlPr defaultSize="0" autoFill="0" autoLine="0" autoPict="0">
                <anchor moveWithCells="1">
                  <from>
                    <xdr:col>16</xdr:col>
                    <xdr:colOff>371475</xdr:colOff>
                    <xdr:row>90</xdr:row>
                    <xdr:rowOff>66675</xdr:rowOff>
                  </from>
                  <to>
                    <xdr:col>18</xdr:col>
                    <xdr:colOff>552450</xdr:colOff>
                    <xdr:row>90</xdr:row>
                    <xdr:rowOff>314325</xdr:rowOff>
                  </to>
                </anchor>
              </controlPr>
            </control>
          </mc:Choice>
        </mc:AlternateContent>
        <mc:AlternateContent xmlns:mc="http://schemas.openxmlformats.org/markup-compatibility/2006">
          <mc:Choice Requires="x14">
            <control shapeId="12321"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12322"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12323"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12324" r:id="rId35" name="Option Button 36">
              <controlPr defaultSize="0" autoFill="0" autoLine="0" autoPict="0">
                <anchor moveWithCells="1">
                  <from>
                    <xdr:col>16</xdr:col>
                    <xdr:colOff>371475</xdr:colOff>
                    <xdr:row>94</xdr:row>
                    <xdr:rowOff>66675</xdr:rowOff>
                  </from>
                  <to>
                    <xdr:col>18</xdr:col>
                    <xdr:colOff>552450</xdr:colOff>
                    <xdr:row>94</xdr:row>
                    <xdr:rowOff>285750</xdr:rowOff>
                  </to>
                </anchor>
              </controlPr>
            </control>
          </mc:Choice>
        </mc:AlternateContent>
        <mc:AlternateContent xmlns:mc="http://schemas.openxmlformats.org/markup-compatibility/2006">
          <mc:Choice Requires="x14">
            <control shapeId="12325"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12326" r:id="rId37" name="Option Button 38">
              <controlPr defaultSize="0" autoFill="0" autoLine="0" autoPict="0">
                <anchor moveWithCells="1">
                  <from>
                    <xdr:col>16</xdr:col>
                    <xdr:colOff>371475</xdr:colOff>
                    <xdr:row>96</xdr:row>
                    <xdr:rowOff>66675</xdr:rowOff>
                  </from>
                  <to>
                    <xdr:col>18</xdr:col>
                    <xdr:colOff>571500</xdr:colOff>
                    <xdr:row>96</xdr:row>
                    <xdr:rowOff>285750</xdr:rowOff>
                  </to>
                </anchor>
              </controlPr>
            </control>
          </mc:Choice>
        </mc:AlternateContent>
        <mc:AlternateContent xmlns:mc="http://schemas.openxmlformats.org/markup-compatibility/2006">
          <mc:Choice Requires="x14">
            <control shapeId="12327" r:id="rId38" name="Option Button 39">
              <controlPr defaultSize="0" autoFill="0" autoLine="0" autoPict="0">
                <anchor moveWithCells="1">
                  <from>
                    <xdr:col>16</xdr:col>
                    <xdr:colOff>371475</xdr:colOff>
                    <xdr:row>97</xdr:row>
                    <xdr:rowOff>66675</xdr:rowOff>
                  </from>
                  <to>
                    <xdr:col>18</xdr:col>
                    <xdr:colOff>571500</xdr:colOff>
                    <xdr:row>97</xdr:row>
                    <xdr:rowOff>285750</xdr:rowOff>
                  </to>
                </anchor>
              </controlPr>
            </control>
          </mc:Choice>
        </mc:AlternateContent>
        <mc:AlternateContent xmlns:mc="http://schemas.openxmlformats.org/markup-compatibility/2006">
          <mc:Choice Requires="x14">
            <control shapeId="12328"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12331" r:id="rId40" name="Option Button 43">
              <controlPr defaultSize="0" autoFill="0" autoLine="0" autoPict="0">
                <anchor moveWithCells="1">
                  <from>
                    <xdr:col>16</xdr:col>
                    <xdr:colOff>371475</xdr:colOff>
                    <xdr:row>100</xdr:row>
                    <xdr:rowOff>66675</xdr:rowOff>
                  </from>
                  <to>
                    <xdr:col>18</xdr:col>
                    <xdr:colOff>571500</xdr:colOff>
                    <xdr:row>100</xdr:row>
                    <xdr:rowOff>285750</xdr:rowOff>
                  </to>
                </anchor>
              </controlPr>
            </control>
          </mc:Choice>
        </mc:AlternateContent>
        <mc:AlternateContent xmlns:mc="http://schemas.openxmlformats.org/markup-compatibility/2006">
          <mc:Choice Requires="x14">
            <control shapeId="12332" r:id="rId41" name="Option Button 44">
              <controlPr defaultSize="0" autoFill="0" autoLine="0" autoPict="0">
                <anchor moveWithCells="1">
                  <from>
                    <xdr:col>16</xdr:col>
                    <xdr:colOff>371475</xdr:colOff>
                    <xdr:row>101</xdr:row>
                    <xdr:rowOff>66675</xdr:rowOff>
                  </from>
                  <to>
                    <xdr:col>18</xdr:col>
                    <xdr:colOff>571500</xdr:colOff>
                    <xdr:row>101</xdr:row>
                    <xdr:rowOff>285750</xdr:rowOff>
                  </to>
                </anchor>
              </controlPr>
            </control>
          </mc:Choice>
        </mc:AlternateContent>
        <mc:AlternateContent xmlns:mc="http://schemas.openxmlformats.org/markup-compatibility/2006">
          <mc:Choice Requires="x14">
            <control shapeId="12333" r:id="rId42" name="Option Button 45">
              <controlPr defaultSize="0" autoFill="0" autoLine="0" autoPict="0">
                <anchor moveWithCells="1">
                  <from>
                    <xdr:col>16</xdr:col>
                    <xdr:colOff>371475</xdr:colOff>
                    <xdr:row>102</xdr:row>
                    <xdr:rowOff>66675</xdr:rowOff>
                  </from>
                  <to>
                    <xdr:col>18</xdr:col>
                    <xdr:colOff>571500</xdr:colOff>
                    <xdr:row>102</xdr:row>
                    <xdr:rowOff>285750</xdr:rowOff>
                  </to>
                </anchor>
              </controlPr>
            </control>
          </mc:Choice>
        </mc:AlternateContent>
        <mc:AlternateContent xmlns:mc="http://schemas.openxmlformats.org/markup-compatibility/2006">
          <mc:Choice Requires="x14">
            <control shapeId="12334"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12335" r:id="rId44" name="Option Button 47">
              <controlPr defaultSize="0" autoFill="0" autoLine="0" autoPict="0">
                <anchor moveWithCells="1">
                  <from>
                    <xdr:col>16</xdr:col>
                    <xdr:colOff>371475</xdr:colOff>
                    <xdr:row>104</xdr:row>
                    <xdr:rowOff>66675</xdr:rowOff>
                  </from>
                  <to>
                    <xdr:col>18</xdr:col>
                    <xdr:colOff>619125</xdr:colOff>
                    <xdr:row>104</xdr:row>
                    <xdr:rowOff>314325</xdr:rowOff>
                  </to>
                </anchor>
              </controlPr>
            </control>
          </mc:Choice>
        </mc:AlternateContent>
        <mc:AlternateContent xmlns:mc="http://schemas.openxmlformats.org/markup-compatibility/2006">
          <mc:Choice Requires="x14">
            <control shapeId="12336" r:id="rId45" name="Option Button 48">
              <controlPr defaultSize="0" autoFill="0" autoLine="0" autoPict="0">
                <anchor moveWithCells="1">
                  <from>
                    <xdr:col>19</xdr:col>
                    <xdr:colOff>381000</xdr:colOff>
                    <xdr:row>85</xdr:row>
                    <xdr:rowOff>66675</xdr:rowOff>
                  </from>
                  <to>
                    <xdr:col>21</xdr:col>
                    <xdr:colOff>285750</xdr:colOff>
                    <xdr:row>85</xdr:row>
                    <xdr:rowOff>285750</xdr:rowOff>
                  </to>
                </anchor>
              </controlPr>
            </control>
          </mc:Choice>
        </mc:AlternateContent>
        <mc:AlternateContent xmlns:mc="http://schemas.openxmlformats.org/markup-compatibility/2006">
          <mc:Choice Requires="x14">
            <control shapeId="12337" r:id="rId46" name="Option Button 49">
              <controlPr defaultSize="0" autoFill="0" autoLine="0" autoPict="0">
                <anchor moveWithCells="1">
                  <from>
                    <xdr:col>19</xdr:col>
                    <xdr:colOff>381000</xdr:colOff>
                    <xdr:row>86</xdr:row>
                    <xdr:rowOff>66675</xdr:rowOff>
                  </from>
                  <to>
                    <xdr:col>21</xdr:col>
                    <xdr:colOff>266700</xdr:colOff>
                    <xdr:row>86</xdr:row>
                    <xdr:rowOff>285750</xdr:rowOff>
                  </to>
                </anchor>
              </controlPr>
            </control>
          </mc:Choice>
        </mc:AlternateContent>
        <mc:AlternateContent xmlns:mc="http://schemas.openxmlformats.org/markup-compatibility/2006">
          <mc:Choice Requires="x14">
            <control shapeId="12338" r:id="rId47" name="Option Button 50">
              <controlPr defaultSize="0" autoFill="0" autoLine="0" autoPict="0">
                <anchor moveWithCells="1">
                  <from>
                    <xdr:col>19</xdr:col>
                    <xdr:colOff>381000</xdr:colOff>
                    <xdr:row>87</xdr:row>
                    <xdr:rowOff>66675</xdr:rowOff>
                  </from>
                  <to>
                    <xdr:col>21</xdr:col>
                    <xdr:colOff>285750</xdr:colOff>
                    <xdr:row>87</xdr:row>
                    <xdr:rowOff>285750</xdr:rowOff>
                  </to>
                </anchor>
              </controlPr>
            </control>
          </mc:Choice>
        </mc:AlternateContent>
        <mc:AlternateContent xmlns:mc="http://schemas.openxmlformats.org/markup-compatibility/2006">
          <mc:Choice Requires="x14">
            <control shapeId="12339" r:id="rId48" name="Option Button 51">
              <controlPr defaultSize="0" autoFill="0" autoLine="0" autoPict="0">
                <anchor moveWithCells="1">
                  <from>
                    <xdr:col>19</xdr:col>
                    <xdr:colOff>381000</xdr:colOff>
                    <xdr:row>88</xdr:row>
                    <xdr:rowOff>66675</xdr:rowOff>
                  </from>
                  <to>
                    <xdr:col>21</xdr:col>
                    <xdr:colOff>285750</xdr:colOff>
                    <xdr:row>88</xdr:row>
                    <xdr:rowOff>314325</xdr:rowOff>
                  </to>
                </anchor>
              </controlPr>
            </control>
          </mc:Choice>
        </mc:AlternateContent>
        <mc:AlternateContent xmlns:mc="http://schemas.openxmlformats.org/markup-compatibility/2006">
          <mc:Choice Requires="x14">
            <control shapeId="12340" r:id="rId49" name="Option Button 52">
              <controlPr defaultSize="0" autoFill="0" autoLine="0" autoPict="0">
                <anchor moveWithCells="1">
                  <from>
                    <xdr:col>19</xdr:col>
                    <xdr:colOff>381000</xdr:colOff>
                    <xdr:row>89</xdr:row>
                    <xdr:rowOff>66675</xdr:rowOff>
                  </from>
                  <to>
                    <xdr:col>21</xdr:col>
                    <xdr:colOff>285750</xdr:colOff>
                    <xdr:row>89</xdr:row>
                    <xdr:rowOff>285750</xdr:rowOff>
                  </to>
                </anchor>
              </controlPr>
            </control>
          </mc:Choice>
        </mc:AlternateContent>
        <mc:AlternateContent xmlns:mc="http://schemas.openxmlformats.org/markup-compatibility/2006">
          <mc:Choice Requires="x14">
            <control shapeId="12341" r:id="rId50" name="Option Button 53">
              <controlPr defaultSize="0" autoFill="0" autoLine="0" autoPict="0">
                <anchor moveWithCells="1">
                  <from>
                    <xdr:col>19</xdr:col>
                    <xdr:colOff>381000</xdr:colOff>
                    <xdr:row>90</xdr:row>
                    <xdr:rowOff>66675</xdr:rowOff>
                  </from>
                  <to>
                    <xdr:col>21</xdr:col>
                    <xdr:colOff>285750</xdr:colOff>
                    <xdr:row>90</xdr:row>
                    <xdr:rowOff>314325</xdr:rowOff>
                  </to>
                </anchor>
              </controlPr>
            </control>
          </mc:Choice>
        </mc:AlternateContent>
        <mc:AlternateContent xmlns:mc="http://schemas.openxmlformats.org/markup-compatibility/2006">
          <mc:Choice Requires="x14">
            <control shapeId="12342"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12343" r:id="rId52" name="Option Button 55">
              <controlPr defaultSize="0" autoFill="0" autoLine="0" autoPict="0">
                <anchor moveWithCells="1">
                  <from>
                    <xdr:col>19</xdr:col>
                    <xdr:colOff>381000</xdr:colOff>
                    <xdr:row>92</xdr:row>
                    <xdr:rowOff>66675</xdr:rowOff>
                  </from>
                  <to>
                    <xdr:col>21</xdr:col>
                    <xdr:colOff>285750</xdr:colOff>
                    <xdr:row>92</xdr:row>
                    <xdr:rowOff>285750</xdr:rowOff>
                  </to>
                </anchor>
              </controlPr>
            </control>
          </mc:Choice>
        </mc:AlternateContent>
        <mc:AlternateContent xmlns:mc="http://schemas.openxmlformats.org/markup-compatibility/2006">
          <mc:Choice Requires="x14">
            <control shapeId="12344" r:id="rId53" name="Option Button 56">
              <controlPr defaultSize="0" autoFill="0" autoLine="0" autoPict="0">
                <anchor moveWithCells="1">
                  <from>
                    <xdr:col>19</xdr:col>
                    <xdr:colOff>381000</xdr:colOff>
                    <xdr:row>93</xdr:row>
                    <xdr:rowOff>66675</xdr:rowOff>
                  </from>
                  <to>
                    <xdr:col>21</xdr:col>
                    <xdr:colOff>285750</xdr:colOff>
                    <xdr:row>93</xdr:row>
                    <xdr:rowOff>285750</xdr:rowOff>
                  </to>
                </anchor>
              </controlPr>
            </control>
          </mc:Choice>
        </mc:AlternateContent>
        <mc:AlternateContent xmlns:mc="http://schemas.openxmlformats.org/markup-compatibility/2006">
          <mc:Choice Requires="x14">
            <control shapeId="12345" r:id="rId54" name="Option Button 57">
              <controlPr defaultSize="0" autoFill="0" autoLine="0" autoPict="0">
                <anchor moveWithCells="1">
                  <from>
                    <xdr:col>19</xdr:col>
                    <xdr:colOff>381000</xdr:colOff>
                    <xdr:row>94</xdr:row>
                    <xdr:rowOff>66675</xdr:rowOff>
                  </from>
                  <to>
                    <xdr:col>21</xdr:col>
                    <xdr:colOff>285750</xdr:colOff>
                    <xdr:row>94</xdr:row>
                    <xdr:rowOff>285750</xdr:rowOff>
                  </to>
                </anchor>
              </controlPr>
            </control>
          </mc:Choice>
        </mc:AlternateContent>
        <mc:AlternateContent xmlns:mc="http://schemas.openxmlformats.org/markup-compatibility/2006">
          <mc:Choice Requires="x14">
            <control shapeId="12346"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12347" r:id="rId56" name="Option Button 59">
              <controlPr defaultSize="0" autoFill="0" autoLine="0" autoPict="0">
                <anchor moveWithCells="1">
                  <from>
                    <xdr:col>19</xdr:col>
                    <xdr:colOff>381000</xdr:colOff>
                    <xdr:row>96</xdr:row>
                    <xdr:rowOff>66675</xdr:rowOff>
                  </from>
                  <to>
                    <xdr:col>21</xdr:col>
                    <xdr:colOff>285750</xdr:colOff>
                    <xdr:row>96</xdr:row>
                    <xdr:rowOff>285750</xdr:rowOff>
                  </to>
                </anchor>
              </controlPr>
            </control>
          </mc:Choice>
        </mc:AlternateContent>
        <mc:AlternateContent xmlns:mc="http://schemas.openxmlformats.org/markup-compatibility/2006">
          <mc:Choice Requires="x14">
            <control shapeId="12348" r:id="rId57" name="Option Button 60">
              <controlPr defaultSize="0" autoFill="0" autoLine="0" autoPict="0">
                <anchor moveWithCells="1">
                  <from>
                    <xdr:col>19</xdr:col>
                    <xdr:colOff>381000</xdr:colOff>
                    <xdr:row>97</xdr:row>
                    <xdr:rowOff>66675</xdr:rowOff>
                  </from>
                  <to>
                    <xdr:col>21</xdr:col>
                    <xdr:colOff>314325</xdr:colOff>
                    <xdr:row>97</xdr:row>
                    <xdr:rowOff>285750</xdr:rowOff>
                  </to>
                </anchor>
              </controlPr>
            </control>
          </mc:Choice>
        </mc:AlternateContent>
        <mc:AlternateContent xmlns:mc="http://schemas.openxmlformats.org/markup-compatibility/2006">
          <mc:Choice Requires="x14">
            <control shapeId="12349"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12356" r:id="rId59" name="Group Box 68">
              <controlPr defaultSize="0" autoFill="0" autoPict="0">
                <anchor moveWithCells="1">
                  <from>
                    <xdr:col>12</xdr:col>
                    <xdr:colOff>504825</xdr:colOff>
                    <xdr:row>84</xdr:row>
                    <xdr:rowOff>28575</xdr:rowOff>
                  </from>
                  <to>
                    <xdr:col>25</xdr:col>
                    <xdr:colOff>381000</xdr:colOff>
                    <xdr:row>84</xdr:row>
                    <xdr:rowOff>333375</xdr:rowOff>
                  </to>
                </anchor>
              </controlPr>
            </control>
          </mc:Choice>
        </mc:AlternateContent>
        <mc:AlternateContent xmlns:mc="http://schemas.openxmlformats.org/markup-compatibility/2006">
          <mc:Choice Requires="x14">
            <control shapeId="12357" r:id="rId60" name="Group Box 69">
              <controlPr defaultSize="0" autoFill="0" autoPict="0">
                <anchor moveWithCells="1">
                  <from>
                    <xdr:col>12</xdr:col>
                    <xdr:colOff>504825</xdr:colOff>
                    <xdr:row>85</xdr:row>
                    <xdr:rowOff>38100</xdr:rowOff>
                  </from>
                  <to>
                    <xdr:col>25</xdr:col>
                    <xdr:colOff>361950</xdr:colOff>
                    <xdr:row>85</xdr:row>
                    <xdr:rowOff>381000</xdr:rowOff>
                  </to>
                </anchor>
              </controlPr>
            </control>
          </mc:Choice>
        </mc:AlternateContent>
        <mc:AlternateContent xmlns:mc="http://schemas.openxmlformats.org/markup-compatibility/2006">
          <mc:Choice Requires="x14">
            <control shapeId="12358" r:id="rId61" name="Group Box 70">
              <controlPr defaultSize="0" autoFill="0" autoPict="0">
                <anchor moveWithCells="1">
                  <from>
                    <xdr:col>12</xdr:col>
                    <xdr:colOff>504825</xdr:colOff>
                    <xdr:row>86</xdr:row>
                    <xdr:rowOff>38100</xdr:rowOff>
                  </from>
                  <to>
                    <xdr:col>25</xdr:col>
                    <xdr:colOff>361950</xdr:colOff>
                    <xdr:row>86</xdr:row>
                    <xdr:rowOff>381000</xdr:rowOff>
                  </to>
                </anchor>
              </controlPr>
            </control>
          </mc:Choice>
        </mc:AlternateContent>
        <mc:AlternateContent xmlns:mc="http://schemas.openxmlformats.org/markup-compatibility/2006">
          <mc:Choice Requires="x14">
            <control shapeId="12359" r:id="rId62" name="Group Box 71">
              <controlPr defaultSize="0" autoFill="0" autoPict="0">
                <anchor moveWithCells="1">
                  <from>
                    <xdr:col>12</xdr:col>
                    <xdr:colOff>504825</xdr:colOff>
                    <xdr:row>87</xdr:row>
                    <xdr:rowOff>28575</xdr:rowOff>
                  </from>
                  <to>
                    <xdr:col>25</xdr:col>
                    <xdr:colOff>361950</xdr:colOff>
                    <xdr:row>87</xdr:row>
                    <xdr:rowOff>333375</xdr:rowOff>
                  </to>
                </anchor>
              </controlPr>
            </control>
          </mc:Choice>
        </mc:AlternateContent>
        <mc:AlternateContent xmlns:mc="http://schemas.openxmlformats.org/markup-compatibility/2006">
          <mc:Choice Requires="x14">
            <control shapeId="12360" r:id="rId63" name="Group Box 72">
              <controlPr defaultSize="0" autoFill="0" autoPict="0">
                <anchor moveWithCells="1">
                  <from>
                    <xdr:col>12</xdr:col>
                    <xdr:colOff>504825</xdr:colOff>
                    <xdr:row>88</xdr:row>
                    <xdr:rowOff>38100</xdr:rowOff>
                  </from>
                  <to>
                    <xdr:col>25</xdr:col>
                    <xdr:colOff>361950</xdr:colOff>
                    <xdr:row>88</xdr:row>
                    <xdr:rowOff>381000</xdr:rowOff>
                  </to>
                </anchor>
              </controlPr>
            </control>
          </mc:Choice>
        </mc:AlternateContent>
        <mc:AlternateContent xmlns:mc="http://schemas.openxmlformats.org/markup-compatibility/2006">
          <mc:Choice Requires="x14">
            <control shapeId="12361" r:id="rId64" name="Group Box 73">
              <controlPr defaultSize="0" autoFill="0" autoPict="0">
                <anchor moveWithCells="1">
                  <from>
                    <xdr:col>12</xdr:col>
                    <xdr:colOff>504825</xdr:colOff>
                    <xdr:row>89</xdr:row>
                    <xdr:rowOff>47625</xdr:rowOff>
                  </from>
                  <to>
                    <xdr:col>25</xdr:col>
                    <xdr:colOff>361950</xdr:colOff>
                    <xdr:row>89</xdr:row>
                    <xdr:rowOff>381000</xdr:rowOff>
                  </to>
                </anchor>
              </controlPr>
            </control>
          </mc:Choice>
        </mc:AlternateContent>
        <mc:AlternateContent xmlns:mc="http://schemas.openxmlformats.org/markup-compatibility/2006">
          <mc:Choice Requires="x14">
            <control shapeId="12362" r:id="rId65" name="Group Box 74">
              <controlPr defaultSize="0" autoFill="0" autoPict="0">
                <anchor moveWithCells="1">
                  <from>
                    <xdr:col>12</xdr:col>
                    <xdr:colOff>504825</xdr:colOff>
                    <xdr:row>90</xdr:row>
                    <xdr:rowOff>38100</xdr:rowOff>
                  </from>
                  <to>
                    <xdr:col>25</xdr:col>
                    <xdr:colOff>361950</xdr:colOff>
                    <xdr:row>90</xdr:row>
                    <xdr:rowOff>381000</xdr:rowOff>
                  </to>
                </anchor>
              </controlPr>
            </control>
          </mc:Choice>
        </mc:AlternateContent>
        <mc:AlternateContent xmlns:mc="http://schemas.openxmlformats.org/markup-compatibility/2006">
          <mc:Choice Requires="x14">
            <control shapeId="12363" r:id="rId66" name="Group Box 75">
              <controlPr defaultSize="0" autoFill="0" autoPict="0">
                <anchor moveWithCells="1">
                  <from>
                    <xdr:col>12</xdr:col>
                    <xdr:colOff>504825</xdr:colOff>
                    <xdr:row>91</xdr:row>
                    <xdr:rowOff>38100</xdr:rowOff>
                  </from>
                  <to>
                    <xdr:col>25</xdr:col>
                    <xdr:colOff>361950</xdr:colOff>
                    <xdr:row>91</xdr:row>
                    <xdr:rowOff>381000</xdr:rowOff>
                  </to>
                </anchor>
              </controlPr>
            </control>
          </mc:Choice>
        </mc:AlternateContent>
        <mc:AlternateContent xmlns:mc="http://schemas.openxmlformats.org/markup-compatibility/2006">
          <mc:Choice Requires="x14">
            <control shapeId="12364" r:id="rId67" name="Group Box 76">
              <controlPr defaultSize="0" autoFill="0" autoPict="0">
                <anchor moveWithCells="1">
                  <from>
                    <xdr:col>12</xdr:col>
                    <xdr:colOff>504825</xdr:colOff>
                    <xdr:row>92</xdr:row>
                    <xdr:rowOff>47625</xdr:rowOff>
                  </from>
                  <to>
                    <xdr:col>25</xdr:col>
                    <xdr:colOff>361950</xdr:colOff>
                    <xdr:row>92</xdr:row>
                    <xdr:rowOff>381000</xdr:rowOff>
                  </to>
                </anchor>
              </controlPr>
            </control>
          </mc:Choice>
        </mc:AlternateContent>
        <mc:AlternateContent xmlns:mc="http://schemas.openxmlformats.org/markup-compatibility/2006">
          <mc:Choice Requires="x14">
            <control shapeId="12365" r:id="rId68" name="Group Box 77">
              <controlPr defaultSize="0" autoFill="0" autoPict="0">
                <anchor moveWithCells="1">
                  <from>
                    <xdr:col>12</xdr:col>
                    <xdr:colOff>504825</xdr:colOff>
                    <xdr:row>93</xdr:row>
                    <xdr:rowOff>57150</xdr:rowOff>
                  </from>
                  <to>
                    <xdr:col>25</xdr:col>
                    <xdr:colOff>361950</xdr:colOff>
                    <xdr:row>93</xdr:row>
                    <xdr:rowOff>381000</xdr:rowOff>
                  </to>
                </anchor>
              </controlPr>
            </control>
          </mc:Choice>
        </mc:AlternateContent>
        <mc:AlternateContent xmlns:mc="http://schemas.openxmlformats.org/markup-compatibility/2006">
          <mc:Choice Requires="x14">
            <control shapeId="12366" r:id="rId69" name="Group Box 78">
              <controlPr defaultSize="0" autoFill="0" autoPict="0">
                <anchor moveWithCells="1">
                  <from>
                    <xdr:col>12</xdr:col>
                    <xdr:colOff>504825</xdr:colOff>
                    <xdr:row>94</xdr:row>
                    <xdr:rowOff>47625</xdr:rowOff>
                  </from>
                  <to>
                    <xdr:col>25</xdr:col>
                    <xdr:colOff>361950</xdr:colOff>
                    <xdr:row>94</xdr:row>
                    <xdr:rowOff>381000</xdr:rowOff>
                  </to>
                </anchor>
              </controlPr>
            </control>
          </mc:Choice>
        </mc:AlternateContent>
        <mc:AlternateContent xmlns:mc="http://schemas.openxmlformats.org/markup-compatibility/2006">
          <mc:Choice Requires="x14">
            <control shapeId="12367" r:id="rId70" name="Group Box 79">
              <controlPr defaultSize="0" autoFill="0" autoPict="0">
                <anchor moveWithCells="1">
                  <from>
                    <xdr:col>12</xdr:col>
                    <xdr:colOff>504825</xdr:colOff>
                    <xdr:row>95</xdr:row>
                    <xdr:rowOff>57150</xdr:rowOff>
                  </from>
                  <to>
                    <xdr:col>25</xdr:col>
                    <xdr:colOff>361950</xdr:colOff>
                    <xdr:row>95</xdr:row>
                    <xdr:rowOff>381000</xdr:rowOff>
                  </to>
                </anchor>
              </controlPr>
            </control>
          </mc:Choice>
        </mc:AlternateContent>
        <mc:AlternateContent xmlns:mc="http://schemas.openxmlformats.org/markup-compatibility/2006">
          <mc:Choice Requires="x14">
            <control shapeId="12368" r:id="rId71" name="Group Box 80">
              <controlPr defaultSize="0" autoFill="0" autoPict="0">
                <anchor moveWithCells="1">
                  <from>
                    <xdr:col>12</xdr:col>
                    <xdr:colOff>504825</xdr:colOff>
                    <xdr:row>96</xdr:row>
                    <xdr:rowOff>47625</xdr:rowOff>
                  </from>
                  <to>
                    <xdr:col>25</xdr:col>
                    <xdr:colOff>361950</xdr:colOff>
                    <xdr:row>96</xdr:row>
                    <xdr:rowOff>381000</xdr:rowOff>
                  </to>
                </anchor>
              </controlPr>
            </control>
          </mc:Choice>
        </mc:AlternateContent>
        <mc:AlternateContent xmlns:mc="http://schemas.openxmlformats.org/markup-compatibility/2006">
          <mc:Choice Requires="x14">
            <control shapeId="12369" r:id="rId72" name="Group Box 81">
              <controlPr defaultSize="0" autoFill="0" autoPict="0">
                <anchor moveWithCells="1">
                  <from>
                    <xdr:col>12</xdr:col>
                    <xdr:colOff>504825</xdr:colOff>
                    <xdr:row>97</xdr:row>
                    <xdr:rowOff>38100</xdr:rowOff>
                  </from>
                  <to>
                    <xdr:col>25</xdr:col>
                    <xdr:colOff>361950</xdr:colOff>
                    <xdr:row>97</xdr:row>
                    <xdr:rowOff>381000</xdr:rowOff>
                  </to>
                </anchor>
              </controlPr>
            </control>
          </mc:Choice>
        </mc:AlternateContent>
        <mc:AlternateContent xmlns:mc="http://schemas.openxmlformats.org/markup-compatibility/2006">
          <mc:Choice Requires="x14">
            <control shapeId="12370" r:id="rId73" name="Group Box 82">
              <controlPr defaultSize="0" autoFill="0" autoPict="0">
                <anchor moveWithCells="1">
                  <from>
                    <xdr:col>12</xdr:col>
                    <xdr:colOff>504825</xdr:colOff>
                    <xdr:row>98</xdr:row>
                    <xdr:rowOff>38100</xdr:rowOff>
                  </from>
                  <to>
                    <xdr:col>25</xdr:col>
                    <xdr:colOff>361950</xdr:colOff>
                    <xdr:row>98</xdr:row>
                    <xdr:rowOff>381000</xdr:rowOff>
                  </to>
                </anchor>
              </controlPr>
            </control>
          </mc:Choice>
        </mc:AlternateContent>
        <mc:AlternateContent xmlns:mc="http://schemas.openxmlformats.org/markup-compatibility/2006">
          <mc:Choice Requires="x14">
            <control shapeId="12373"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12374" r:id="rId75" name="Group Box 86">
              <controlPr defaultSize="0" autoFill="0" autoPict="0">
                <anchor moveWithCells="1">
                  <from>
                    <xdr:col>12</xdr:col>
                    <xdr:colOff>504825</xdr:colOff>
                    <xdr:row>101</xdr:row>
                    <xdr:rowOff>38100</xdr:rowOff>
                  </from>
                  <to>
                    <xdr:col>25</xdr:col>
                    <xdr:colOff>361950</xdr:colOff>
                    <xdr:row>101</xdr:row>
                    <xdr:rowOff>381000</xdr:rowOff>
                  </to>
                </anchor>
              </controlPr>
            </control>
          </mc:Choice>
        </mc:AlternateContent>
        <mc:AlternateContent xmlns:mc="http://schemas.openxmlformats.org/markup-compatibility/2006">
          <mc:Choice Requires="x14">
            <control shapeId="12375" r:id="rId76" name="Group Box 87">
              <controlPr defaultSize="0" autoFill="0" autoPict="0">
                <anchor moveWithCells="1">
                  <from>
                    <xdr:col>12</xdr:col>
                    <xdr:colOff>504825</xdr:colOff>
                    <xdr:row>102</xdr:row>
                    <xdr:rowOff>28575</xdr:rowOff>
                  </from>
                  <to>
                    <xdr:col>25</xdr:col>
                    <xdr:colOff>361950</xdr:colOff>
                    <xdr:row>102</xdr:row>
                    <xdr:rowOff>333375</xdr:rowOff>
                  </to>
                </anchor>
              </controlPr>
            </control>
          </mc:Choice>
        </mc:AlternateContent>
        <mc:AlternateContent xmlns:mc="http://schemas.openxmlformats.org/markup-compatibility/2006">
          <mc:Choice Requires="x14">
            <control shapeId="12376" r:id="rId77" name="Group Box 88">
              <controlPr defaultSize="0" autoFill="0" autoPict="0">
                <anchor moveWithCells="1">
                  <from>
                    <xdr:col>12</xdr:col>
                    <xdr:colOff>504825</xdr:colOff>
                    <xdr:row>103</xdr:row>
                    <xdr:rowOff>38100</xdr:rowOff>
                  </from>
                  <to>
                    <xdr:col>25</xdr:col>
                    <xdr:colOff>361950</xdr:colOff>
                    <xdr:row>103</xdr:row>
                    <xdr:rowOff>381000</xdr:rowOff>
                  </to>
                </anchor>
              </controlPr>
            </control>
          </mc:Choice>
        </mc:AlternateContent>
        <mc:AlternateContent xmlns:mc="http://schemas.openxmlformats.org/markup-compatibility/2006">
          <mc:Choice Requires="x14">
            <control shapeId="12377" r:id="rId78" name="Group Box 89">
              <controlPr defaultSize="0" autoFill="0" autoPict="0">
                <anchor moveWithCells="1">
                  <from>
                    <xdr:col>12</xdr:col>
                    <xdr:colOff>504825</xdr:colOff>
                    <xdr:row>104</xdr:row>
                    <xdr:rowOff>28575</xdr:rowOff>
                  </from>
                  <to>
                    <xdr:col>25</xdr:col>
                    <xdr:colOff>361950</xdr:colOff>
                    <xdr:row>104</xdr:row>
                    <xdr:rowOff>333375</xdr:rowOff>
                  </to>
                </anchor>
              </controlPr>
            </control>
          </mc:Choice>
        </mc:AlternateContent>
        <mc:AlternateContent xmlns:mc="http://schemas.openxmlformats.org/markup-compatibility/2006">
          <mc:Choice Requires="x14">
            <control shapeId="12501" r:id="rId79" name="Option Button 213">
              <controlPr defaultSize="0" autoFill="0" autoLine="0" autoPict="0">
                <anchor moveWithCells="1">
                  <from>
                    <xdr:col>15</xdr:col>
                    <xdr:colOff>57150</xdr:colOff>
                    <xdr:row>8</xdr:row>
                    <xdr:rowOff>47625</xdr:rowOff>
                  </from>
                  <to>
                    <xdr:col>16</xdr:col>
                    <xdr:colOff>476250</xdr:colOff>
                    <xdr:row>8</xdr:row>
                    <xdr:rowOff>285750</xdr:rowOff>
                  </to>
                </anchor>
              </controlPr>
            </control>
          </mc:Choice>
        </mc:AlternateContent>
        <mc:AlternateContent xmlns:mc="http://schemas.openxmlformats.org/markup-compatibility/2006">
          <mc:Choice Requires="x14">
            <control shapeId="12502" r:id="rId80" name="Option Button 214">
              <controlPr defaultSize="0" autoFill="0" autoLine="0" autoPict="0">
                <anchor moveWithCells="1">
                  <from>
                    <xdr:col>17</xdr:col>
                    <xdr:colOff>76200</xdr:colOff>
                    <xdr:row>8</xdr:row>
                    <xdr:rowOff>47625</xdr:rowOff>
                  </from>
                  <to>
                    <xdr:col>18</xdr:col>
                    <xdr:colOff>571500</xdr:colOff>
                    <xdr:row>8</xdr:row>
                    <xdr:rowOff>285750</xdr:rowOff>
                  </to>
                </anchor>
              </controlPr>
            </control>
          </mc:Choice>
        </mc:AlternateContent>
        <mc:AlternateContent xmlns:mc="http://schemas.openxmlformats.org/markup-compatibility/2006">
          <mc:Choice Requires="x14">
            <control shapeId="12503" r:id="rId81" name="Option Button 215">
              <controlPr defaultSize="0" autoFill="0" autoLine="0" autoPict="0">
                <anchor moveWithCells="1">
                  <from>
                    <xdr:col>24</xdr:col>
                    <xdr:colOff>57150</xdr:colOff>
                    <xdr:row>8</xdr:row>
                    <xdr:rowOff>47625</xdr:rowOff>
                  </from>
                  <to>
                    <xdr:col>25</xdr:col>
                    <xdr:colOff>476250</xdr:colOff>
                    <xdr:row>8</xdr:row>
                    <xdr:rowOff>285750</xdr:rowOff>
                  </to>
                </anchor>
              </controlPr>
            </control>
          </mc:Choice>
        </mc:AlternateContent>
        <mc:AlternateContent xmlns:mc="http://schemas.openxmlformats.org/markup-compatibility/2006">
          <mc:Choice Requires="x14">
            <control shapeId="12504" r:id="rId82" name="Option Button 216">
              <controlPr defaultSize="0" autoFill="0" autoLine="0" autoPict="0">
                <anchor moveWithCells="1">
                  <from>
                    <xdr:col>26</xdr:col>
                    <xdr:colOff>66675</xdr:colOff>
                    <xdr:row>8</xdr:row>
                    <xdr:rowOff>47625</xdr:rowOff>
                  </from>
                  <to>
                    <xdr:col>27</xdr:col>
                    <xdr:colOff>571500</xdr:colOff>
                    <xdr:row>8</xdr:row>
                    <xdr:rowOff>285750</xdr:rowOff>
                  </to>
                </anchor>
              </controlPr>
            </control>
          </mc:Choice>
        </mc:AlternateContent>
        <mc:AlternateContent xmlns:mc="http://schemas.openxmlformats.org/markup-compatibility/2006">
          <mc:Choice Requires="x14">
            <control shapeId="12505" r:id="rId83" name="Option Button 217">
              <controlPr defaultSize="0" autoFill="0" autoLine="0" autoPict="0">
                <anchor moveWithCells="1">
                  <from>
                    <xdr:col>28</xdr:col>
                    <xdr:colOff>76200</xdr:colOff>
                    <xdr:row>8</xdr:row>
                    <xdr:rowOff>47625</xdr:rowOff>
                  </from>
                  <to>
                    <xdr:col>29</xdr:col>
                    <xdr:colOff>381000</xdr:colOff>
                    <xdr:row>8</xdr:row>
                    <xdr:rowOff>285750</xdr:rowOff>
                  </to>
                </anchor>
              </controlPr>
            </control>
          </mc:Choice>
        </mc:AlternateContent>
        <mc:AlternateContent xmlns:mc="http://schemas.openxmlformats.org/markup-compatibility/2006">
          <mc:Choice Requires="x14">
            <control shapeId="12506" r:id="rId84" name="Group Box 218">
              <controlPr defaultSize="0" autoFill="0" autoPict="0">
                <anchor moveWithCells="1">
                  <from>
                    <xdr:col>14</xdr:col>
                    <xdr:colOff>400050</xdr:colOff>
                    <xdr:row>7</xdr:row>
                    <xdr:rowOff>257175</xdr:rowOff>
                  </from>
                  <to>
                    <xdr:col>21</xdr:col>
                    <xdr:colOff>76200</xdr:colOff>
                    <xdr:row>9</xdr:row>
                    <xdr:rowOff>95250</xdr:rowOff>
                  </to>
                </anchor>
              </controlPr>
            </control>
          </mc:Choice>
        </mc:AlternateContent>
        <mc:AlternateContent xmlns:mc="http://schemas.openxmlformats.org/markup-compatibility/2006">
          <mc:Choice Requires="x14">
            <control shapeId="12507" r:id="rId85" name="Group Box 219">
              <controlPr defaultSize="0" autoFill="0" autoPict="0">
                <anchor moveWithCells="1">
                  <from>
                    <xdr:col>23</xdr:col>
                    <xdr:colOff>476250</xdr:colOff>
                    <xdr:row>7</xdr:row>
                    <xdr:rowOff>266700</xdr:rowOff>
                  </from>
                  <to>
                    <xdr:col>29</xdr:col>
                    <xdr:colOff>504825</xdr:colOff>
                    <xdr:row>9</xdr:row>
                    <xdr:rowOff>95250</xdr:rowOff>
                  </to>
                </anchor>
              </controlPr>
            </control>
          </mc:Choice>
        </mc:AlternateContent>
        <mc:AlternateContent xmlns:mc="http://schemas.openxmlformats.org/markup-compatibility/2006">
          <mc:Choice Requires="x14">
            <control shapeId="12953" r:id="rId86" name="Option Button 665">
              <controlPr defaultSize="0" autoFill="0" autoLine="0" autoPict="0">
                <anchor moveWithCells="1">
                  <from>
                    <xdr:col>13</xdr:col>
                    <xdr:colOff>371475</xdr:colOff>
                    <xdr:row>99</xdr:row>
                    <xdr:rowOff>66675</xdr:rowOff>
                  </from>
                  <to>
                    <xdr:col>15</xdr:col>
                    <xdr:colOff>285750</xdr:colOff>
                    <xdr:row>99</xdr:row>
                    <xdr:rowOff>285750</xdr:rowOff>
                  </to>
                </anchor>
              </controlPr>
            </control>
          </mc:Choice>
        </mc:AlternateContent>
        <mc:AlternateContent xmlns:mc="http://schemas.openxmlformats.org/markup-compatibility/2006">
          <mc:Choice Requires="x14">
            <control shapeId="12954" r:id="rId87" name="Option Button 666">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12955" r:id="rId88" name="Option Button 667">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12956" r:id="rId89" name="Group Box 668">
              <controlPr defaultSize="0" autoFill="0" autoPict="0">
                <anchor moveWithCells="1">
                  <from>
                    <xdr:col>12</xdr:col>
                    <xdr:colOff>504825</xdr:colOff>
                    <xdr:row>99</xdr:row>
                    <xdr:rowOff>38100</xdr:rowOff>
                  </from>
                  <to>
                    <xdr:col>25</xdr:col>
                    <xdr:colOff>361950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F6EDF97-C738-409D-B7FE-8C144FE075EA}">
          <x14:formula1>
            <xm:f>産業分類!$B$2:$B$21</xm:f>
          </x14:formula1>
          <xm:sqref>P12:U12</xm:sqref>
        </x14:dataValidation>
        <x14:dataValidation type="list" allowBlank="1" showInputMessage="1" showErrorMessage="1" xr:uid="{87C7CD72-9268-4CAD-9FF3-BE77C5787FDA}">
          <x14:formula1>
            <xm:f>'プルダウンリスト（エネルギー）'!$A:$A</xm:f>
          </x14:formula1>
          <xm:sqref>E28:I28</xm:sqref>
        </x14:dataValidation>
        <x14:dataValidation type="list" allowBlank="1" showInputMessage="1" showErrorMessage="1" xr:uid="{36C80DF4-5F4B-4971-83BE-A3F477272033}">
          <x14:formula1>
            <xm:f>'プルダウンリスト（エネルギー）'!$C:$C</xm:f>
          </x14:formula1>
          <xm:sqref>E34:I34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B435-088C-4993-A4C8-8F0BA95BC8CF}">
  <sheetPr codeName="Sheet3">
    <tabColor theme="5"/>
    <pageSetUpPr fitToPage="1"/>
  </sheetPr>
  <dimension ref="A1:CG127"/>
  <sheetViews>
    <sheetView showGridLines="0" zoomScale="80" zoomScaleNormal="80" zoomScaleSheetLayoutView="25" zoomScalePageLayoutView="85" workbookViewId="0">
      <pane ySplit="1" topLeftCell="A2" activePane="bottomLeft" state="frozen"/>
      <selection activeCell="AG85" sqref="AG85:AG105"/>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84" t="str">
        <f>IF(OR(基本設定シート!B11=基本設定シート!C6,基本設定シート!B11=基本設定シート!C7),基本設定シート!C7+1&amp;"年度提出用","このシートは使用しません。")</f>
        <v>2028年度提出用</v>
      </c>
      <c r="B1" s="84"/>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3"/>
      <c r="AE1" s="83" t="str">
        <f ca="1">IF(AJ6=AJ5,"今年度使用するシートです。",IF(AJ6&gt;AJ5,"本シートは作成済みです。次のシートにお進みください。",""))</f>
        <v/>
      </c>
      <c r="AF1" s="18"/>
      <c r="AG1" s="19" t="s">
        <v>4281</v>
      </c>
      <c r="AH1" s="20"/>
      <c r="AI1" s="20"/>
      <c r="AJ1" s="20"/>
      <c r="AK1" s="20"/>
      <c r="AL1" s="20"/>
      <c r="AM1" s="20"/>
      <c r="AN1" s="20"/>
      <c r="AO1" s="20"/>
      <c r="AP1" s="20"/>
      <c r="AQ1" s="20"/>
      <c r="AR1" s="20"/>
      <c r="AS1" s="19" t="str">
        <f>"※"&amp;基本設定シート!C8&amp;"年度参加の場合は本シートは非表示にしてアップロード"</f>
        <v>※2028年度参加の場合は本シートは非表示にしてアップロード</v>
      </c>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9" t="s">
        <v>1</v>
      </c>
      <c r="D4" s="459"/>
      <c r="E4" s="459"/>
      <c r="F4" s="14">
        <f>基本設定シート!C7+1</f>
        <v>2028</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3">
        <f ca="1">TODAY()</f>
        <v>46111</v>
      </c>
      <c r="AK4" s="464"/>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基本設定シート!C7+1</f>
        <v>2028</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384" t="s">
        <v>48</v>
      </c>
      <c r="C6" s="384"/>
      <c r="D6" s="384"/>
      <c r="E6" s="384"/>
      <c r="F6" s="16"/>
      <c r="G6" s="16"/>
      <c r="H6" s="13"/>
      <c r="I6" s="13"/>
      <c r="J6" s="13"/>
      <c r="K6" s="13"/>
      <c r="L6" s="13"/>
      <c r="M6" s="13"/>
      <c r="N6" s="384" t="s">
        <v>46</v>
      </c>
      <c r="O6" s="384"/>
      <c r="P6" s="16"/>
      <c r="Q6" s="16"/>
      <c r="R6" s="13"/>
      <c r="S6" s="13"/>
      <c r="T6" s="13"/>
      <c r="U6" s="13"/>
      <c r="V6" s="13"/>
      <c r="W6" s="384" t="s">
        <v>47</v>
      </c>
      <c r="X6" s="384"/>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385" t="s">
        <v>4120</v>
      </c>
      <c r="C8" s="385"/>
      <c r="D8" s="385"/>
      <c r="E8" s="385"/>
      <c r="F8" s="552" t="str">
        <f>IF('入力シート（2027年度提出用）'!F8="","",'入力シート（2027年度提出用）'!F8)</f>
        <v/>
      </c>
      <c r="G8" s="437"/>
      <c r="H8" s="437"/>
      <c r="I8" s="437"/>
      <c r="J8" s="437"/>
      <c r="K8" s="437"/>
      <c r="L8" s="438"/>
      <c r="M8" s="13"/>
      <c r="N8" s="436" t="s">
        <v>4123</v>
      </c>
      <c r="O8" s="436"/>
      <c r="P8" s="437" t="str">
        <f>IF('入力シート（2027年度提出用）'!P8="","",'入力シート（2027年度提出用）'!P8)</f>
        <v/>
      </c>
      <c r="Q8" s="437"/>
      <c r="R8" s="437"/>
      <c r="S8" s="437"/>
      <c r="T8" s="437"/>
      <c r="U8" s="438"/>
      <c r="V8" s="13"/>
      <c r="W8" s="439" t="s">
        <v>4125</v>
      </c>
      <c r="X8" s="394"/>
      <c r="Y8" s="437" t="str">
        <f>IF('入力シート（2027年度提出用）'!Y8="","",'入力シート（2027年度提出用）'!Y8)</f>
        <v/>
      </c>
      <c r="Z8" s="437"/>
      <c r="AA8" s="437"/>
      <c r="AB8" s="437"/>
      <c r="AC8" s="437"/>
      <c r="AD8" s="438"/>
      <c r="AE8" s="29"/>
      <c r="AF8" s="30"/>
      <c r="AG8" s="20"/>
      <c r="AH8" s="20"/>
      <c r="AI8" s="460"/>
      <c r="AJ8" s="460"/>
      <c r="AK8" s="452"/>
      <c r="AL8" s="452"/>
      <c r="AM8" s="452"/>
      <c r="AN8" s="452"/>
      <c r="AO8" s="452"/>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386" t="s">
        <v>4121</v>
      </c>
      <c r="C9" s="387"/>
      <c r="D9" s="387"/>
      <c r="E9" s="388"/>
      <c r="F9" s="466" t="s">
        <v>4228</v>
      </c>
      <c r="G9" s="467"/>
      <c r="H9" s="94" t="str">
        <f>IF('入力シート（2027年度提出用）'!H9="","",'入力シート（2027年度提出用）'!H9)</f>
        <v/>
      </c>
      <c r="I9" s="34" t="s">
        <v>27</v>
      </c>
      <c r="J9" s="95" t="str">
        <f>IF('入力シート（2027年度提出用）'!J9="","",'入力シート（2027年度提出用）'!J9)</f>
        <v/>
      </c>
      <c r="K9" s="1"/>
      <c r="L9" s="1"/>
      <c r="M9" s="13"/>
      <c r="N9" s="385" t="s">
        <v>4124</v>
      </c>
      <c r="O9" s="385"/>
      <c r="P9" s="456" t="s">
        <v>4230</v>
      </c>
      <c r="Q9" s="457"/>
      <c r="R9" s="457" t="s">
        <v>4231</v>
      </c>
      <c r="S9" s="457"/>
      <c r="T9" s="457"/>
      <c r="U9" s="458"/>
      <c r="V9" s="13"/>
      <c r="W9" s="386" t="s">
        <v>4126</v>
      </c>
      <c r="X9" s="388"/>
      <c r="Y9" s="456" t="s">
        <v>4230</v>
      </c>
      <c r="Z9" s="457"/>
      <c r="AA9" s="553" t="s">
        <v>4229</v>
      </c>
      <c r="AB9" s="553"/>
      <c r="AC9" s="457" t="s">
        <v>4226</v>
      </c>
      <c r="AD9" s="458"/>
      <c r="AE9" s="13"/>
      <c r="AF9" s="20"/>
      <c r="AG9" s="7">
        <f>'入力シート（2027年度提出用）'!AG9</f>
        <v>0</v>
      </c>
      <c r="AH9" s="7">
        <f>'入力シート（2027年度提出用）'!AH9</f>
        <v>0</v>
      </c>
      <c r="AI9" s="460"/>
      <c r="AJ9" s="460"/>
      <c r="AK9" s="452"/>
      <c r="AL9" s="452"/>
      <c r="AM9" s="452"/>
      <c r="AN9" s="452"/>
      <c r="AO9" s="452"/>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46"/>
      <c r="C10" s="465"/>
      <c r="D10" s="465"/>
      <c r="E10" s="447"/>
      <c r="F10" s="437" t="str">
        <f>IF('入力シート（2027年度提出用）'!F10="","",'入力シート（2027年度提出用）'!F10)</f>
        <v/>
      </c>
      <c r="G10" s="437"/>
      <c r="H10" s="437"/>
      <c r="I10" s="437"/>
      <c r="J10" s="437"/>
      <c r="K10" s="437"/>
      <c r="L10" s="438"/>
      <c r="M10" s="13"/>
      <c r="N10" s="431"/>
      <c r="O10" s="431"/>
      <c r="P10" s="29" t="s">
        <v>34</v>
      </c>
      <c r="Q10" s="99" t="str">
        <f>IF(AG9='入力シート（2027年度提出用）'!AG9,'入力シート（2027年度提出用）'!Q10,IF(AG9=1,H9,""))</f>
        <v/>
      </c>
      <c r="R10" s="98" t="s">
        <v>27</v>
      </c>
      <c r="S10" s="100" t="str">
        <f>IF(AG9='入力シート（2027年度提出用）'!AG9,'入力シート（2027年度提出用）'!S10,IF(AG9=1,J9,""))</f>
        <v/>
      </c>
      <c r="T10" s="13"/>
      <c r="U10" s="13"/>
      <c r="V10" s="13"/>
      <c r="W10" s="461"/>
      <c r="X10" s="462"/>
      <c r="Y10" s="29" t="s">
        <v>34</v>
      </c>
      <c r="Z10" s="99" t="str">
        <f>IF(AH9='入力シート（2027年度提出用）'!AH9,'入力シート（2027年度提出用）'!Z10,IF(AH9=1,H9,IF(AH9=2,Q10,"")))</f>
        <v/>
      </c>
      <c r="AA10" s="98" t="s">
        <v>27</v>
      </c>
      <c r="AB10" s="100" t="str">
        <f>IF(AH9='入力シート（2027年度提出用）'!AH9,'入力シート（2027年度提出用）'!AB10,IF(AH9=1,J9,IF(AH9=2,S10,"")))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389" t="s">
        <v>4122</v>
      </c>
      <c r="C11" s="389"/>
      <c r="D11" s="389"/>
      <c r="E11" s="389"/>
      <c r="F11" s="552" t="str">
        <f>IF('入力シート（2027年度提出用）'!F11="","",'入力シート（2027年度提出用）'!F11)</f>
        <v/>
      </c>
      <c r="G11" s="437"/>
      <c r="H11" s="437"/>
      <c r="I11" s="437"/>
      <c r="J11" s="437"/>
      <c r="K11" s="437"/>
      <c r="L11" s="438"/>
      <c r="M11" s="13"/>
      <c r="N11" s="446"/>
      <c r="O11" s="447"/>
      <c r="P11" s="437" t="str">
        <f>IF(AG9='入力シート（2027年度提出用）'!AG9,'入力シート（2027年度提出用）'!P11,IF(AG9=1,F10,""))</f>
        <v/>
      </c>
      <c r="Q11" s="437"/>
      <c r="R11" s="437"/>
      <c r="S11" s="437"/>
      <c r="T11" s="437"/>
      <c r="U11" s="438"/>
      <c r="V11" s="13"/>
      <c r="W11" s="446"/>
      <c r="X11" s="447"/>
      <c r="Y11" s="437" t="str">
        <f>IF(AH9='入力シート（2027年度提出用）'!AH9,'入力シート（2027年度提出用）'!Y11,IF(AH9=1,F10,IF(AH9=2,P11,"")))</f>
        <v/>
      </c>
      <c r="Z11" s="437"/>
      <c r="AA11" s="437"/>
      <c r="AB11" s="437"/>
      <c r="AC11" s="437"/>
      <c r="AD11" s="438"/>
      <c r="AE11" s="29"/>
      <c r="AF11" s="30"/>
      <c r="AG11" s="20"/>
    </row>
    <row r="12" spans="1:85" ht="27.95" customHeight="1">
      <c r="A12" s="13"/>
      <c r="B12" s="13"/>
      <c r="C12" s="13"/>
      <c r="D12" s="13"/>
      <c r="E12" s="15"/>
      <c r="F12" s="13"/>
      <c r="G12" s="13"/>
      <c r="H12" s="13"/>
      <c r="I12" s="13"/>
      <c r="J12" s="13"/>
      <c r="K12" s="13"/>
      <c r="L12" s="13"/>
      <c r="M12" s="13"/>
      <c r="N12" s="436" t="s">
        <v>4235</v>
      </c>
      <c r="O12" s="436"/>
      <c r="P12" s="572" t="str">
        <f>IF('入力シート（2027年度提出用）'!P12="","",'入力シート（2027年度提出用）'!P12)</f>
        <v/>
      </c>
      <c r="Q12" s="572"/>
      <c r="R12" s="572"/>
      <c r="S12" s="572"/>
      <c r="T12" s="572"/>
      <c r="U12" s="572"/>
      <c r="V12" s="13"/>
      <c r="W12" s="439" t="s">
        <v>4127</v>
      </c>
      <c r="X12" s="394"/>
      <c r="Y12" s="552" t="str">
        <f>IF('入力シート（2027年度提出用）'!Y12="","",'入力シート（2027年度提出用）'!Y12)</f>
        <v/>
      </c>
      <c r="Z12" s="437"/>
      <c r="AA12" s="437"/>
      <c r="AB12" s="437"/>
      <c r="AC12" s="437"/>
      <c r="AD12" s="438"/>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39" t="s">
        <v>4128</v>
      </c>
      <c r="X13" s="394"/>
      <c r="Y13" s="549" t="str">
        <f>IF('入力シート（2027年度提出用）'!Y13="","",'入力シート（2027年度提出用）'!Y13)</f>
        <v/>
      </c>
      <c r="Z13" s="550"/>
      <c r="AA13" s="550"/>
      <c r="AB13" s="550"/>
      <c r="AC13" s="550"/>
      <c r="AD13" s="551"/>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39" t="s">
        <v>4129</v>
      </c>
      <c r="X14" s="394"/>
      <c r="Y14" s="552" t="str">
        <f>IF('入力シート（2027年度提出用）'!Y14="","",'入力シート（2027年度提出用）'!Y14)</f>
        <v/>
      </c>
      <c r="Z14" s="437"/>
      <c r="AA14" s="437"/>
      <c r="AB14" s="437"/>
      <c r="AC14" s="437"/>
      <c r="AD14" s="438"/>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"◆エネルギー使用実績等（"&amp;基本設定シート!C7&amp;"年度実績）"</f>
        <v>◆エネルギー使用実績等（2027年度実績）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384" t="s">
        <v>2</v>
      </c>
      <c r="C18" s="384"/>
      <c r="D18" s="384"/>
      <c r="E18" s="384"/>
      <c r="F18" s="384"/>
      <c r="G18" s="384"/>
      <c r="H18" s="13"/>
      <c r="I18" s="13"/>
      <c r="J18" s="13"/>
      <c r="K18" s="13"/>
      <c r="L18" s="13"/>
      <c r="M18" s="13"/>
      <c r="N18" s="13"/>
      <c r="O18" s="13"/>
      <c r="P18" s="13"/>
      <c r="Q18" s="13"/>
      <c r="R18" s="13"/>
      <c r="S18" s="13"/>
      <c r="T18" s="13"/>
      <c r="U18" s="13"/>
      <c r="V18" s="13"/>
      <c r="W18" s="13"/>
      <c r="X18" s="13"/>
      <c r="Y18" s="13"/>
      <c r="Z18" s="13"/>
      <c r="AA18" s="573" t="str">
        <f>HYPERLINK("#CG17","【任意】使用料金表はこちら→")</f>
        <v>【任意】使用料金表はこちら→</v>
      </c>
      <c r="AB18" s="574"/>
      <c r="AC18" s="574"/>
      <c r="AD18" s="574"/>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25" t="s">
        <v>4112</v>
      </c>
      <c r="BQ18" s="426"/>
      <c r="BR18" s="427"/>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02" t="s">
        <v>8</v>
      </c>
      <c r="C20" s="403"/>
      <c r="D20" s="403"/>
      <c r="E20" s="403"/>
      <c r="F20" s="403"/>
      <c r="G20" s="403"/>
      <c r="H20" s="403"/>
      <c r="I20" s="404"/>
      <c r="J20" s="443" t="s">
        <v>30</v>
      </c>
      <c r="K20" s="444"/>
      <c r="L20" s="444"/>
      <c r="M20" s="444"/>
      <c r="N20" s="444"/>
      <c r="O20" s="444"/>
      <c r="P20" s="444"/>
      <c r="Q20" s="444"/>
      <c r="R20" s="444"/>
      <c r="S20" s="444"/>
      <c r="T20" s="444"/>
      <c r="U20" s="444"/>
      <c r="V20" s="444"/>
      <c r="W20" s="445"/>
      <c r="X20" s="451" t="s">
        <v>4233</v>
      </c>
      <c r="Y20" s="404"/>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02"/>
      <c r="BQ20" s="403"/>
      <c r="BR20" s="404"/>
      <c r="BS20" s="450" t="s">
        <v>4112</v>
      </c>
      <c r="BT20" s="450"/>
      <c r="BU20" s="450"/>
      <c r="BV20" s="450"/>
      <c r="BW20" s="450"/>
      <c r="BX20" s="450"/>
      <c r="BY20" s="450"/>
      <c r="BZ20" s="450"/>
      <c r="CA20" s="450"/>
      <c r="CB20" s="450"/>
      <c r="CC20" s="450"/>
      <c r="CD20" s="450"/>
      <c r="CE20" s="450"/>
      <c r="CF20" s="450"/>
      <c r="CG20" s="13"/>
    </row>
    <row r="21" spans="1:85" ht="30" customHeight="1">
      <c r="A21" s="13"/>
      <c r="B21" s="405"/>
      <c r="C21" s="406"/>
      <c r="D21" s="406"/>
      <c r="E21" s="406"/>
      <c r="F21" s="406"/>
      <c r="G21" s="406"/>
      <c r="H21" s="406"/>
      <c r="I21" s="407"/>
      <c r="J21" s="450" t="s">
        <v>9</v>
      </c>
      <c r="K21" s="450" t="str">
        <f>基本設定シート!$C$7&amp;"年"</f>
        <v>2027年</v>
      </c>
      <c r="L21" s="450"/>
      <c r="M21" s="450"/>
      <c r="N21" s="450"/>
      <c r="O21" s="450"/>
      <c r="P21" s="450"/>
      <c r="Q21" s="450"/>
      <c r="R21" s="450"/>
      <c r="S21" s="450"/>
      <c r="T21" s="450" t="str">
        <f>基本設定シート!$C$7+1&amp;"年"</f>
        <v>2028年</v>
      </c>
      <c r="U21" s="450"/>
      <c r="V21" s="450"/>
      <c r="W21" s="448" t="s">
        <v>23</v>
      </c>
      <c r="X21" s="405"/>
      <c r="Y21" s="407"/>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05"/>
      <c r="BQ21" s="406"/>
      <c r="BR21" s="407"/>
      <c r="BS21" s="448" t="s">
        <v>9</v>
      </c>
      <c r="BT21" s="450" t="str">
        <f>基本設定シート!$C$7&amp;"年"</f>
        <v>2027年</v>
      </c>
      <c r="BU21" s="450"/>
      <c r="BV21" s="450"/>
      <c r="BW21" s="450"/>
      <c r="BX21" s="450"/>
      <c r="BY21" s="450"/>
      <c r="BZ21" s="450"/>
      <c r="CA21" s="450"/>
      <c r="CB21" s="450"/>
      <c r="CC21" s="450" t="str">
        <f>基本設定シート!$C$7+1&amp;"年"</f>
        <v>2028年</v>
      </c>
      <c r="CD21" s="450"/>
      <c r="CE21" s="450"/>
      <c r="CF21" s="448" t="s">
        <v>23</v>
      </c>
      <c r="CG21" s="13"/>
    </row>
    <row r="22" spans="1:85" ht="30" customHeight="1">
      <c r="A22" s="13"/>
      <c r="B22" s="408"/>
      <c r="C22" s="409"/>
      <c r="D22" s="409"/>
      <c r="E22" s="409"/>
      <c r="F22" s="409"/>
      <c r="G22" s="409"/>
      <c r="H22" s="409"/>
      <c r="I22" s="410"/>
      <c r="J22" s="450"/>
      <c r="K22" s="91" t="s">
        <v>10</v>
      </c>
      <c r="L22" s="91" t="s">
        <v>11</v>
      </c>
      <c r="M22" s="91" t="s">
        <v>12</v>
      </c>
      <c r="N22" s="91" t="s">
        <v>13</v>
      </c>
      <c r="O22" s="91" t="s">
        <v>14</v>
      </c>
      <c r="P22" s="91" t="s">
        <v>15</v>
      </c>
      <c r="Q22" s="91" t="s">
        <v>16</v>
      </c>
      <c r="R22" s="91" t="s">
        <v>17</v>
      </c>
      <c r="S22" s="91" t="s">
        <v>18</v>
      </c>
      <c r="T22" s="91" t="s">
        <v>19</v>
      </c>
      <c r="U22" s="91" t="s">
        <v>20</v>
      </c>
      <c r="V22" s="91" t="s">
        <v>21</v>
      </c>
      <c r="W22" s="449"/>
      <c r="X22" s="408"/>
      <c r="Y22" s="410"/>
      <c r="Z22" s="13"/>
      <c r="AA22" s="13"/>
      <c r="AB22" s="13"/>
      <c r="AC22" s="13"/>
      <c r="AD22" s="13"/>
      <c r="AE22" s="29"/>
      <c r="AF22" s="30"/>
      <c r="AG22" s="20"/>
      <c r="AH22" s="20"/>
      <c r="AI22" s="398" t="s">
        <v>4079</v>
      </c>
      <c r="AJ22" s="398"/>
      <c r="AK22" s="383" t="s">
        <v>4082</v>
      </c>
      <c r="AL22" s="383"/>
      <c r="AM22" s="383" t="s">
        <v>4080</v>
      </c>
      <c r="AN22" s="383"/>
      <c r="AO22" s="542" t="s">
        <v>3</v>
      </c>
      <c r="AP22" s="542"/>
      <c r="AQ22" s="542"/>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383" t="s">
        <v>4110</v>
      </c>
      <c r="BJ22" s="383"/>
      <c r="BK22" s="383" t="s">
        <v>28</v>
      </c>
      <c r="BL22" s="383"/>
      <c r="BM22" s="20"/>
      <c r="BN22" s="20"/>
      <c r="BO22" s="13"/>
      <c r="BP22" s="408"/>
      <c r="BQ22" s="409"/>
      <c r="BR22" s="410"/>
      <c r="BS22" s="449"/>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49"/>
      <c r="CG22" s="13"/>
    </row>
    <row r="23" spans="1:85" ht="30" customHeight="1">
      <c r="A23" s="13"/>
      <c r="B23" s="533" t="s">
        <v>4275</v>
      </c>
      <c r="C23" s="534"/>
      <c r="D23" s="103"/>
      <c r="E23" s="394" t="str">
        <f>'係数（車両用）'!O6</f>
        <v>ガソリン</v>
      </c>
      <c r="F23" s="436"/>
      <c r="G23" s="436"/>
      <c r="H23" s="436"/>
      <c r="I23" s="436"/>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3" t="str">
        <f>"t-CO2/"&amp;AJ23</f>
        <v>t-CO2/kl</v>
      </c>
      <c r="AQ23" s="424"/>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3"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35"/>
      <c r="C24" s="536"/>
      <c r="D24" s="103"/>
      <c r="E24" s="394" t="str">
        <f>'係数（車両用）'!O10</f>
        <v>軽油</v>
      </c>
      <c r="F24" s="436"/>
      <c r="G24" s="436"/>
      <c r="H24" s="436"/>
      <c r="I24" s="436"/>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3" t="str">
        <f>"t-CO2/"&amp;AJ24</f>
        <v>t-CO2/kl</v>
      </c>
      <c r="AQ24" s="424"/>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4"/>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35"/>
      <c r="C25" s="536"/>
      <c r="D25" s="103"/>
      <c r="E25" s="394" t="str">
        <f>'係数（車両用）'!O15</f>
        <v>液化石油ガス(LPG)</v>
      </c>
      <c r="F25" s="436"/>
      <c r="G25" s="436"/>
      <c r="H25" s="436"/>
      <c r="I25" s="436"/>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3" t="str">
        <f t="shared" ref="AP25:AP28" si="4">"t-CO2/"&amp;AJ25</f>
        <v>t-CO2/t</v>
      </c>
      <c r="AQ25" s="424"/>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4"/>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35"/>
      <c r="C26" s="536"/>
      <c r="D26" s="103"/>
      <c r="E26" s="393" t="str">
        <f>'係数（車両用）'!O62</f>
        <v>電気（充電）</v>
      </c>
      <c r="F26" s="393"/>
      <c r="G26" s="393"/>
      <c r="H26" s="393"/>
      <c r="I26" s="394"/>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32" t="str">
        <f>"t-CO2/"&amp;AJ26</f>
        <v>t-CO2/千kWh</v>
      </c>
      <c r="AQ26" s="433"/>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4"/>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35"/>
      <c r="C27" s="536"/>
      <c r="D27" s="103"/>
      <c r="E27" s="394" t="str">
        <f>'係数（車両用）'!O48</f>
        <v>水素</v>
      </c>
      <c r="F27" s="436"/>
      <c r="G27" s="436"/>
      <c r="H27" s="436"/>
      <c r="I27" s="436"/>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3" t="str">
        <f t="shared" si="4"/>
        <v>t-CO2/t</v>
      </c>
      <c r="AQ27" s="424"/>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4"/>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35"/>
      <c r="C28" s="536"/>
      <c r="D28" s="113"/>
      <c r="E28" s="546" t="str">
        <f>IF('入力シート（2027年度提出用）'!E28="","上記以外のエネルギー（選択）",'入力シート（2027年度提出用）'!E28)</f>
        <v>上記以外のエネルギー（選択）</v>
      </c>
      <c r="F28" s="547"/>
      <c r="G28" s="547"/>
      <c r="H28" s="547"/>
      <c r="I28" s="547"/>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3" t="str">
        <f t="shared" si="4"/>
        <v>t-CO2/</v>
      </c>
      <c r="AQ28" s="424"/>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4"/>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37"/>
      <c r="C29" s="538"/>
      <c r="D29" s="575" t="s">
        <v>23</v>
      </c>
      <c r="E29" s="575"/>
      <c r="F29" s="575"/>
      <c r="G29" s="575"/>
      <c r="H29" s="575"/>
      <c r="I29" s="575"/>
      <c r="J29" s="575"/>
      <c r="K29" s="575"/>
      <c r="L29" s="575"/>
      <c r="M29" s="575"/>
      <c r="N29" s="575"/>
      <c r="O29" s="575"/>
      <c r="P29" s="575"/>
      <c r="Q29" s="575"/>
      <c r="R29" s="575"/>
      <c r="S29" s="575"/>
      <c r="T29" s="575"/>
      <c r="U29" s="575"/>
      <c r="V29" s="575"/>
      <c r="W29" s="576"/>
      <c r="X29" s="107" t="str">
        <f>IF(SUM(W23:W28)=0,"",ROUNDDOWN(SUM(X23:X28),1))</f>
        <v/>
      </c>
      <c r="Y29" s="108" t="s">
        <v>29</v>
      </c>
      <c r="Z29" s="13"/>
      <c r="AA29" s="93"/>
      <c r="AB29" s="93"/>
      <c r="AC29" s="93"/>
      <c r="AD29" s="93"/>
      <c r="AE29" s="13"/>
      <c r="AF29" s="20"/>
      <c r="AG29" s="20"/>
      <c r="AH29" s="20"/>
      <c r="AI29" s="115"/>
      <c r="AJ29" s="70"/>
      <c r="AK29" s="116"/>
      <c r="AL29" s="70"/>
      <c r="AM29" s="116"/>
      <c r="AN29" s="70"/>
      <c r="AO29" s="117"/>
      <c r="AP29" s="423"/>
      <c r="AQ29" s="512"/>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5"/>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507" t="s">
        <v>4276</v>
      </c>
      <c r="C30" s="508"/>
      <c r="D30" s="27"/>
      <c r="E30" s="393" t="str">
        <f>'係数（事業所用）'!O62</f>
        <v>電気</v>
      </c>
      <c r="F30" s="393"/>
      <c r="G30" s="393"/>
      <c r="H30" s="393"/>
      <c r="I30" s="394"/>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3" t="str">
        <f>"t-CO2/"&amp;AJ30</f>
        <v>t-CO2/千kWh</v>
      </c>
      <c r="AQ30" s="424"/>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21"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509"/>
      <c r="C31" s="510"/>
      <c r="D31" s="27"/>
      <c r="E31" s="393" t="str">
        <f>'係数（事業所用）'!O31</f>
        <v>都市ガス</v>
      </c>
      <c r="F31" s="393"/>
      <c r="G31" s="393"/>
      <c r="H31" s="393"/>
      <c r="I31" s="394"/>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3" t="str">
        <f>"t-CO2/"&amp;AJ31</f>
        <v>t-CO2/千m3</v>
      </c>
      <c r="AQ31" s="424"/>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22"/>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509"/>
      <c r="C32" s="510"/>
      <c r="D32" s="27"/>
      <c r="E32" s="393" t="str">
        <f>'係数（事業所用）'!O15</f>
        <v>プロパンガス</v>
      </c>
      <c r="F32" s="393"/>
      <c r="G32" s="393"/>
      <c r="H32" s="393"/>
      <c r="I32" s="394"/>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3" t="str">
        <f>"t-CO2/"&amp;AJ32</f>
        <v>t-CO2/t</v>
      </c>
      <c r="AQ32" s="424"/>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22"/>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509"/>
      <c r="C33" s="510"/>
      <c r="D33" s="27"/>
      <c r="E33" s="393" t="str">
        <f>'係数（事業所用）'!O9</f>
        <v>灯油</v>
      </c>
      <c r="F33" s="393"/>
      <c r="G33" s="393"/>
      <c r="H33" s="393"/>
      <c r="I33" s="394"/>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3" t="str">
        <f>"t-CO2/"&amp;AJ33</f>
        <v>t-CO2/kl</v>
      </c>
      <c r="AQ33" s="424"/>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22"/>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509"/>
      <c r="C34" s="510"/>
      <c r="D34" s="114"/>
      <c r="E34" s="531" t="str">
        <f>IF('入力シート（2027年度提出用）'!E34="","上記以外のエネルギー（選択）",'入力シート（2027年度提出用）'!E34)</f>
        <v>上記以外のエネルギー（選択）</v>
      </c>
      <c r="F34" s="531"/>
      <c r="G34" s="531"/>
      <c r="H34" s="531"/>
      <c r="I34" s="532"/>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3" t="str">
        <f t="shared" ref="AP34" si="43">"t-CO2/"&amp;AJ34</f>
        <v>t-CO2/</v>
      </c>
      <c r="AQ34" s="424"/>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22"/>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96"/>
      <c r="C35" s="511"/>
      <c r="D35" s="583" t="s">
        <v>23</v>
      </c>
      <c r="E35" s="583"/>
      <c r="F35" s="583"/>
      <c r="G35" s="583"/>
      <c r="H35" s="583"/>
      <c r="I35" s="583"/>
      <c r="J35" s="583"/>
      <c r="K35" s="583"/>
      <c r="L35" s="583"/>
      <c r="M35" s="583"/>
      <c r="N35" s="583"/>
      <c r="O35" s="583"/>
      <c r="P35" s="583"/>
      <c r="Q35" s="583"/>
      <c r="R35" s="583"/>
      <c r="S35" s="583"/>
      <c r="T35" s="583"/>
      <c r="U35" s="583"/>
      <c r="V35" s="583"/>
      <c r="W35" s="584"/>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23"/>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25" t="str">
        <f>"車両台数（"&amp;基本設定シート!C7&amp;"年度）"</f>
        <v>車両台数（2027年度）</v>
      </c>
      <c r="C37" s="426"/>
      <c r="D37" s="426"/>
      <c r="E37" s="426"/>
      <c r="F37" s="426"/>
      <c r="G37" s="427"/>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450" t="s">
        <v>4289</v>
      </c>
      <c r="C39" s="450"/>
      <c r="D39" s="450"/>
      <c r="E39" s="450"/>
      <c r="F39" s="450" t="s">
        <v>4290</v>
      </c>
      <c r="G39" s="450"/>
      <c r="H39" s="450" t="s">
        <v>4294</v>
      </c>
      <c r="I39" s="450"/>
      <c r="J39" s="450"/>
      <c r="K39" s="450"/>
      <c r="L39" s="450"/>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481" t="s">
        <v>4296</v>
      </c>
      <c r="C40" s="481"/>
      <c r="D40" s="481"/>
      <c r="E40" s="481"/>
      <c r="F40" s="483"/>
      <c r="G40" s="484"/>
      <c r="H40" s="518" t="s">
        <v>4293</v>
      </c>
      <c r="I40" s="518"/>
      <c r="J40" s="518"/>
      <c r="K40" s="518"/>
      <c r="L40" s="51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481"/>
      <c r="C41" s="481"/>
      <c r="D41" s="481"/>
      <c r="E41" s="481"/>
      <c r="F41" s="485"/>
      <c r="G41" s="486"/>
      <c r="H41" s="519" t="s">
        <v>4292</v>
      </c>
      <c r="I41" s="519"/>
      <c r="J41" s="519"/>
      <c r="K41" s="519"/>
      <c r="L41" s="51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481"/>
      <c r="C42" s="481"/>
      <c r="D42" s="481"/>
      <c r="E42" s="481"/>
      <c r="F42" s="487"/>
      <c r="G42" s="488"/>
      <c r="H42" s="519" t="s">
        <v>4291</v>
      </c>
      <c r="I42" s="519"/>
      <c r="J42" s="519"/>
      <c r="K42" s="519"/>
      <c r="L42" s="51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481" t="s">
        <v>4297</v>
      </c>
      <c r="C43" s="481"/>
      <c r="D43" s="481"/>
      <c r="E43" s="481"/>
      <c r="F43" s="483"/>
      <c r="G43" s="484"/>
      <c r="H43" s="518" t="s">
        <v>4293</v>
      </c>
      <c r="I43" s="518"/>
      <c r="J43" s="518"/>
      <c r="K43" s="518"/>
      <c r="L43" s="51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481"/>
      <c r="C44" s="481"/>
      <c r="D44" s="481"/>
      <c r="E44" s="481"/>
      <c r="F44" s="485"/>
      <c r="G44" s="486"/>
      <c r="H44" s="519" t="s">
        <v>4292</v>
      </c>
      <c r="I44" s="519"/>
      <c r="J44" s="519"/>
      <c r="K44" s="519"/>
      <c r="L44" s="51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481"/>
      <c r="C45" s="481"/>
      <c r="D45" s="481"/>
      <c r="E45" s="481"/>
      <c r="F45" s="487"/>
      <c r="G45" s="488"/>
      <c r="H45" s="519" t="s">
        <v>4291</v>
      </c>
      <c r="I45" s="519"/>
      <c r="J45" s="519"/>
      <c r="K45" s="519"/>
      <c r="L45" s="51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481" t="s">
        <v>4298</v>
      </c>
      <c r="C46" s="481"/>
      <c r="D46" s="481"/>
      <c r="E46" s="481"/>
      <c r="F46" s="483"/>
      <c r="G46" s="484"/>
      <c r="H46" s="518" t="s">
        <v>4293</v>
      </c>
      <c r="I46" s="518"/>
      <c r="J46" s="518"/>
      <c r="K46" s="518"/>
      <c r="L46" s="51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482"/>
      <c r="C47" s="482"/>
      <c r="D47" s="482"/>
      <c r="E47" s="482"/>
      <c r="F47" s="489"/>
      <c r="G47" s="490"/>
      <c r="H47" s="520" t="s">
        <v>4292</v>
      </c>
      <c r="I47" s="520"/>
      <c r="J47" s="520"/>
      <c r="K47" s="520"/>
      <c r="L47" s="52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66" t="s">
        <v>23</v>
      </c>
      <c r="C48" s="566"/>
      <c r="D48" s="566"/>
      <c r="E48" s="566"/>
      <c r="F48" s="567" t="str">
        <f>IF(COUNTBLANK(F40:G47)=16,"",SUM(F40:G47))</f>
        <v/>
      </c>
      <c r="G48" s="568"/>
      <c r="H48" s="566" t="s">
        <v>23</v>
      </c>
      <c r="I48" s="566"/>
      <c r="J48" s="566"/>
      <c r="K48" s="566"/>
      <c r="L48" s="566"/>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384" t="s">
        <v>4134</v>
      </c>
      <c r="C50" s="384"/>
      <c r="D50" s="384"/>
      <c r="E50" s="384"/>
      <c r="F50" s="384"/>
      <c r="G50" s="384"/>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77" t="s">
        <v>4135</v>
      </c>
      <c r="C52" s="578"/>
      <c r="D52" s="579"/>
      <c r="E52" s="519" t="str">
        <f>基本設定シート!$C$7&amp;"年度 温室効果ガス排出量の削減目標"</f>
        <v>2027年度 温室効果ガス排出量の削減目標</v>
      </c>
      <c r="F52" s="519"/>
      <c r="G52" s="519"/>
      <c r="H52" s="519"/>
      <c r="I52" s="519"/>
      <c r="J52" s="524" t="str">
        <f>IF(基本設定シート!$B$11=基本設定シート!$C$6,IF('入力シート（2027年度提出用）'!M61="","",'入力シート（2027年度提出用）'!M61),IF(基本設定シート!$B$11=基本設定シート!$C$7,IF('入力シート（2026年度提出用）'!M61="","",'入力シート（2026年度提出用）'!M61),""))</f>
        <v/>
      </c>
      <c r="K52" s="525"/>
      <c r="L52" s="63" t="s">
        <v>4083</v>
      </c>
      <c r="M52" s="13"/>
      <c r="N52" s="585" t="s">
        <v>4136</v>
      </c>
      <c r="O52" s="519" t="str">
        <f>基本設定シート!$C$7&amp;"年度 温室効果ガス排出量の削減実績"</f>
        <v>2027年度 温室効果ガス排出量の削減実績</v>
      </c>
      <c r="P52" s="519"/>
      <c r="Q52" s="519"/>
      <c r="R52" s="519"/>
      <c r="S52" s="519"/>
      <c r="T52" s="528" t="str">
        <f>IFERROR((AJ52-T53)/AJ52*100,"")</f>
        <v/>
      </c>
      <c r="U52" s="529"/>
      <c r="V52" s="63" t="str">
        <f>IF(T52&lt;0,"%増加","%削減")</f>
        <v>%削減</v>
      </c>
      <c r="W52" s="13"/>
      <c r="X52" s="13"/>
      <c r="Y52" s="13"/>
      <c r="Z52" s="13"/>
      <c r="AA52" s="13"/>
      <c r="AB52" s="13"/>
      <c r="AC52" s="13"/>
      <c r="AD52" s="13"/>
      <c r="AE52" s="13"/>
      <c r="AF52" s="20"/>
      <c r="AG52" s="20"/>
      <c r="AH52" s="20"/>
      <c r="AI52" s="78" t="s">
        <v>4138</v>
      </c>
      <c r="AJ52" s="79" t="str">
        <f>IF(基本設定シート!$B$11=基本設定シート!$C$6,'入力シート（2027年度提出用）'!X29,IF(基本設定シート!$B$11=基本設定シート!$C$7,'入力シート（2026年度提出用）'!X29,""))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80"/>
      <c r="C53" s="581"/>
      <c r="D53" s="582"/>
      <c r="E53" s="519" t="str">
        <f>基本設定シート!$C$7&amp;"年度 目標排出量"</f>
        <v>2027年度 目標排出量</v>
      </c>
      <c r="F53" s="519"/>
      <c r="G53" s="519"/>
      <c r="H53" s="519"/>
      <c r="I53" s="519"/>
      <c r="J53" s="526" t="str">
        <f>IF(基本設定シート!$B$11=基本設定シート!$C$6,'入力シート（2027年度提出用）'!AB61,IF(基本設定シート!$B$11=基本設定シート!$C$7,'入力シート（2026年度提出用）'!AB61,""))</f>
        <v/>
      </c>
      <c r="K53" s="527"/>
      <c r="L53" s="63" t="s">
        <v>29</v>
      </c>
      <c r="M53" s="13"/>
      <c r="N53" s="585"/>
      <c r="O53" s="519" t="str">
        <f>基本設定シート!$C$7&amp;"年度 排出量"</f>
        <v>2027年度 排出量</v>
      </c>
      <c r="P53" s="519"/>
      <c r="Q53" s="519"/>
      <c r="R53" s="519"/>
      <c r="S53" s="519"/>
      <c r="T53" s="526" t="str">
        <f>X29</f>
        <v/>
      </c>
      <c r="U53" s="527"/>
      <c r="V53" s="63" t="s">
        <v>29</v>
      </c>
      <c r="W53" s="13"/>
      <c r="X53" s="13"/>
      <c r="Y53" s="13"/>
      <c r="Z53" s="15"/>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60" t="s">
        <v>4137</v>
      </c>
      <c r="C55" s="561"/>
      <c r="D55" s="561"/>
      <c r="E55" s="562"/>
      <c r="F55" s="563" t="s">
        <v>4300</v>
      </c>
      <c r="G55" s="564"/>
      <c r="H55" s="564"/>
      <c r="I55" s="564"/>
      <c r="J55" s="564"/>
      <c r="K55" s="564"/>
      <c r="L55" s="564"/>
      <c r="M55" s="564"/>
      <c r="N55" s="564"/>
      <c r="O55" s="564"/>
      <c r="P55" s="564"/>
      <c r="Q55" s="564"/>
      <c r="R55" s="564"/>
      <c r="S55" s="564"/>
      <c r="T55" s="564"/>
      <c r="U55" s="564"/>
      <c r="V55" s="565"/>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384" t="s">
        <v>4224</v>
      </c>
      <c r="C59" s="384"/>
      <c r="D59" s="384"/>
      <c r="E59" s="384"/>
      <c r="F59" s="384"/>
      <c r="G59" s="38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421" t="str">
        <f>基本設定シート!C7+1&amp;"年度 温室効果ガス排出量の削減目標"</f>
        <v>2028年度 温室効果ガス排出量の削減目標</v>
      </c>
      <c r="D61" s="421"/>
      <c r="E61" s="421"/>
      <c r="F61" s="421"/>
      <c r="G61" s="421"/>
      <c r="H61" s="421"/>
      <c r="I61" s="422"/>
      <c r="J61" s="417" t="str">
        <f>基本設定シート!C7&amp;"年度と比べて"</f>
        <v>2027年度と比べて</v>
      </c>
      <c r="K61" s="418"/>
      <c r="L61" s="418"/>
      <c r="M61" s="420"/>
      <c r="N61" s="420"/>
      <c r="O61" s="415" t="s">
        <v>4083</v>
      </c>
      <c r="P61" s="416"/>
      <c r="Q61" s="13"/>
      <c r="R61" s="85" t="s">
        <v>4084</v>
      </c>
      <c r="S61" s="419" t="str">
        <f>基本設定シート!C7&amp;"年度"</f>
        <v>2027年度</v>
      </c>
      <c r="T61" s="419"/>
      <c r="U61" s="400" t="str">
        <f>X29</f>
        <v/>
      </c>
      <c r="V61" s="401"/>
      <c r="W61" s="63" t="s">
        <v>29</v>
      </c>
      <c r="X61" s="13"/>
      <c r="Y61" s="85" t="s">
        <v>4085</v>
      </c>
      <c r="Z61" s="419" t="str">
        <f>基本設定シート!C7+1&amp;"年度"</f>
        <v>2028年度</v>
      </c>
      <c r="AA61" s="419"/>
      <c r="AB61" s="413" t="str">
        <f>IF(M61="","",ROUNDDOWN(U61*(100-M61)/100,1))</f>
        <v/>
      </c>
      <c r="AC61" s="414"/>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390" t="s">
        <v>4095</v>
      </c>
      <c r="C65" s="390"/>
      <c r="D65" s="390"/>
      <c r="E65" s="390"/>
      <c r="F65" s="390"/>
      <c r="G65" s="390"/>
      <c r="H65" s="390"/>
      <c r="I65" s="390"/>
      <c r="J65" s="390"/>
      <c r="K65" s="390"/>
      <c r="L65" s="390"/>
      <c r="M65" s="390"/>
      <c r="N65" s="390" t="s">
        <v>4283</v>
      </c>
      <c r="O65" s="390"/>
      <c r="P65" s="390"/>
      <c r="Q65" s="390"/>
      <c r="R65" s="390"/>
      <c r="S65" s="390"/>
      <c r="T65" s="390"/>
      <c r="U65" s="390" t="s">
        <v>4284</v>
      </c>
      <c r="V65" s="390"/>
      <c r="W65" s="390"/>
      <c r="X65" s="390"/>
      <c r="Y65" s="390"/>
      <c r="Z65" s="390"/>
      <c r="AA65" s="390"/>
      <c r="AB65" s="390"/>
      <c r="AC65" s="390"/>
      <c r="AD65" s="390"/>
      <c r="AE65" s="13"/>
      <c r="AF65" s="20"/>
      <c r="AG65" s="20"/>
      <c r="AH65" s="20"/>
      <c r="AI65" s="6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395" t="s">
        <v>4286</v>
      </c>
      <c r="D67" s="395"/>
      <c r="E67" s="395"/>
      <c r="F67" s="395"/>
      <c r="G67" s="395"/>
      <c r="H67" s="39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383"/>
      <c r="AJ70" s="383"/>
      <c r="AK70" s="383"/>
      <c r="AL70" s="383" t="s">
        <v>4108</v>
      </c>
      <c r="AM70" s="383"/>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398" t="str">
        <f t="shared" ref="AI71:AI76" si="45">E23</f>
        <v>ガソリン</v>
      </c>
      <c r="AJ71" s="398"/>
      <c r="AK71" s="398"/>
      <c r="AL71" s="399" t="e">
        <f t="shared" ref="AL71:AL76" si="46">IF(OR(BI23="",BI23=0),NA(),BI23)</f>
        <v>#N/A</v>
      </c>
      <c r="AM71" s="399"/>
      <c r="AN71" s="20"/>
      <c r="AO71" s="20"/>
      <c r="AP71" s="20"/>
      <c r="AQ71" s="20"/>
      <c r="AR71" s="20"/>
      <c r="AS71" s="20"/>
      <c r="AT71" s="20"/>
      <c r="AU71" s="48" t="str">
        <f>基本設定シート!$C$7-1&amp;"年度（使用量）"</f>
        <v>2026年度（使用量）</v>
      </c>
      <c r="AV71" s="49" t="str">
        <f>IFERROR(IF(基本設定シート!$B$11=基本設定シート!$C$6,INDEX('入力シート（2027年度提出用）'!AV23:AV34,MATCH($AU$69,'入力シート（2027年度提出用）'!$AU$23:$AU$34,0)),IF(基本設定シート!$B$11=基本設定シート!$C$7,INDEX('入力シート（2026年度提出用）'!AV23:AV34,MATCH($AU$69,'入力シート（2026年度提出用）'!$AU$23:$AU$34,0)))),"")</f>
        <v>リットル</v>
      </c>
      <c r="AW71" s="49">
        <f>IFERROR(IF(基本設定シート!$B$11=基本設定シート!$C$6,INDEX('入力シート（2027年度提出用）'!AW23:AW34,MATCH($AU$69,'入力シート（2027年度提出用）'!$AU$23:$AU$34,0)),IF(基本設定シート!$B$11=基本設定シート!$C$7,INDEX('入力シート（2026年度提出用）'!AW23:AW34,MATCH($AU$69,'入力シート（2026年度提出用）'!$AU$23:$AU$34,0)))),"")</f>
        <v>0</v>
      </c>
      <c r="AX71" s="49">
        <f>IFERROR(IF(基本設定シート!$B$11=基本設定シート!$C$6,INDEX('入力シート（2027年度提出用）'!AX23:AX34,MATCH($AU$69,'入力シート（2027年度提出用）'!$AU$23:$AU$34,0)),IF(基本設定シート!$B$11=基本設定シート!$C$7,INDEX('入力シート（2026年度提出用）'!AX23:AX34,MATCH($AU$69,'入力シート（2026年度提出用）'!$AU$23:$AU$34,0)))),"")</f>
        <v>0</v>
      </c>
      <c r="AY71" s="49">
        <f>IFERROR(IF(基本設定シート!$B$11=基本設定シート!$C$6,INDEX('入力シート（2027年度提出用）'!AY23:AY34,MATCH($AU$69,'入力シート（2027年度提出用）'!$AU$23:$AU$34,0)),IF(基本設定シート!$B$11=基本設定シート!$C$7,INDEX('入力シート（2026年度提出用）'!AY23:AY34,MATCH($AU$69,'入力シート（2026年度提出用）'!$AU$23:$AU$34,0)))),"")</f>
        <v>0</v>
      </c>
      <c r="AZ71" s="49">
        <f>IFERROR(IF(基本設定シート!$B$11=基本設定シート!$C$6,INDEX('入力シート（2027年度提出用）'!AZ23:AZ34,MATCH($AU$69,'入力シート（2027年度提出用）'!$AU$23:$AU$34,0)),IF(基本設定シート!$B$11=基本設定シート!$C$7,INDEX('入力シート（2026年度提出用）'!AZ23:AZ34,MATCH($AU$69,'入力シート（2026年度提出用）'!$AU$23:$AU$34,0)))),"")</f>
        <v>0</v>
      </c>
      <c r="BA71" s="49">
        <f>IFERROR(IF(基本設定シート!$B$11=基本設定シート!$C$6,INDEX('入力シート（2027年度提出用）'!BA23:BA34,MATCH($AU$69,'入力シート（2027年度提出用）'!$AU$23:$AU$34,0)),IF(基本設定シート!$B$11=基本設定シート!$C$7,INDEX('入力シート（2026年度提出用）'!BA23:BA34,MATCH($AU$69,'入力シート（2026年度提出用）'!$AU$23:$AU$34,0)))),"")</f>
        <v>0</v>
      </c>
      <c r="BB71" s="49">
        <f>IFERROR(IF(基本設定シート!$B$11=基本設定シート!$C$6,INDEX('入力シート（2027年度提出用）'!BB23:BB34,MATCH($AU$69,'入力シート（2027年度提出用）'!$AU$23:$AU$34,0)),IF(基本設定シート!$B$11=基本設定シート!$C$7,INDEX('入力シート（2026年度提出用）'!BB23:BB34,MATCH($AU$69,'入力シート（2026年度提出用）'!$AU$23:$AU$34,0)))),"")</f>
        <v>0</v>
      </c>
      <c r="BC71" s="49">
        <f>IFERROR(IF(基本設定シート!$B$11=基本設定シート!$C$6,INDEX('入力シート（2027年度提出用）'!BC23:BC34,MATCH($AU$69,'入力シート（2027年度提出用）'!$AU$23:$AU$34,0)),IF(基本設定シート!$B$11=基本設定シート!$C$7,INDEX('入力シート（2026年度提出用）'!BC23:BC34,MATCH($AU$69,'入力シート（2026年度提出用）'!$AU$23:$AU$34,0)))),"")</f>
        <v>0</v>
      </c>
      <c r="BD71" s="49">
        <f>IFERROR(IF(基本設定シート!$B$11=基本設定シート!$C$6,INDEX('入力シート（2027年度提出用）'!BD23:BD34,MATCH($AU$69,'入力シート（2027年度提出用）'!$AU$23:$AU$34,0)),IF(基本設定シート!$B$11=基本設定シート!$C$7,INDEX('入力シート（2026年度提出用）'!BD23:BD34,MATCH($AU$69,'入力シート（2026年度提出用）'!$AU$23:$AU$34,0)))),"")</f>
        <v>0</v>
      </c>
      <c r="BE71" s="49">
        <f>IFERROR(IF(基本設定シート!$B$11=基本設定シート!$C$6,INDEX('入力シート（2027年度提出用）'!BE23:BE34,MATCH($AU$69,'入力シート（2027年度提出用）'!$AU$23:$AU$34,0)),IF(基本設定シート!$B$11=基本設定シート!$C$7,INDEX('入力シート（2026年度提出用）'!BE23:BE34,MATCH($AU$69,'入力シート（2026年度提出用）'!$AU$23:$AU$34,0)))),"")</f>
        <v>0</v>
      </c>
      <c r="BF71" s="49">
        <f>IFERROR(IF(基本設定シート!$B$11=基本設定シート!$C$6,INDEX('入力シート（2027年度提出用）'!BF23:BF34,MATCH($AU$69,'入力シート（2027年度提出用）'!$AU$23:$AU$34,0)),IF(基本設定シート!$B$11=基本設定シート!$C$7,INDEX('入力シート（2026年度提出用）'!BF23:BF34,MATCH($AU$69,'入力シート（2026年度提出用）'!$AU$23:$AU$34,0)))),"")</f>
        <v>0</v>
      </c>
      <c r="BG71" s="49">
        <f>IFERROR(IF(基本設定シート!$B$11=基本設定シート!$C$6,INDEX('入力シート（2027年度提出用）'!BG23:BG34,MATCH($AU$69,'入力シート（2027年度提出用）'!$AU$23:$AU$34,0)),IF(基本設定シート!$B$11=基本設定シート!$C$7,INDEX('入力シート（2026年度提出用）'!BG23:BG34,MATCH($AU$69,'入力シート（2026年度提出用）'!$AU$23:$AU$34,0)))),"")</f>
        <v>0</v>
      </c>
      <c r="BH71" s="49">
        <f>IFERROR(IF(基本設定シート!$B$11=基本設定シート!$C$6,INDEX('入力シート（2027年度提出用）'!BH23:BH34,MATCH($AU$69,'入力シート（2027年度提出用）'!$AU$23:$AU$34,0)),IF(基本設定シート!$B$11=基本設定シート!$C$7,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398" t="str">
        <f t="shared" si="45"/>
        <v>軽油</v>
      </c>
      <c r="AJ72" s="398"/>
      <c r="AK72" s="398"/>
      <c r="AL72" s="399" t="e">
        <f t="shared" si="46"/>
        <v>#N/A</v>
      </c>
      <c r="AM72" s="399"/>
      <c r="AN72" s="20"/>
      <c r="AO72" s="20"/>
      <c r="AP72" s="20"/>
      <c r="AQ72" s="20"/>
      <c r="AR72" s="20"/>
      <c r="AS72" s="60"/>
      <c r="AT72" s="20"/>
      <c r="AU72" s="48" t="str">
        <f>基本設定シート!$C$7-1&amp;"年度（料金）"</f>
        <v>2026年度（料金）</v>
      </c>
      <c r="AV72" s="49" t="str">
        <f>IFERROR(IF(基本設定シート!$B$11=基本設定シート!$C$6,INDEX('入力シート（2027年度提出用）'!BS23:BS34,MATCH($AU$69,'入力シート（2027年度提出用）'!$AU$23:$AU$34,0)),IF(基本設定シート!$B$11=基本設定シート!$C$7,INDEX('入力シート（2026年度提出用）'!BS23:BS34,MATCH($AU$69,'入力シート（2026年度提出用）'!$AU$23:$AU$34,0)))),"")</f>
        <v>円</v>
      </c>
      <c r="AW72" s="49" t="e">
        <f>IF(基本設定シート!$B$11=基本設定シート!$C$6,IF(INDEX('入力シート（2027年度提出用）'!BT23:BT34,MATCH($AU$69,'入力シート（2027年度提出用）'!$AU$23:$AU$34,0))="",NA(),INDEX('入力シート（2027年度提出用）'!BT23:BT34,MATCH($AU$69,'入力シート（2027年度提出用）'!$AU$23:$AU$34,0))),IF(基本設定シート!$B$11=基本設定シート!$C$7,IF(INDEX('入力シート（2026年度提出用）'!BT23:BT34,MATCH($AU$69,'入力シート（2026年度提出用）'!$AU$23:$AU$34,0))="",NA(),INDEX('入力シート（2026年度提出用）'!BT23:BT34,MATCH($AU$69,'入力シート（2026年度提出用）'!$AU$23:$AU$34,0)))))</f>
        <v>#N/A</v>
      </c>
      <c r="AX72" s="49" t="e">
        <f>IF(基本設定シート!$B$11=基本設定シート!$C$6,IF(INDEX('入力シート（2027年度提出用）'!BU23:BU34,MATCH($AU$69,'入力シート（2027年度提出用）'!$AU$23:$AU$34,0))="",NA(),INDEX('入力シート（2027年度提出用）'!BU23:BU34,MATCH($AU$69,'入力シート（2027年度提出用）'!$AU$23:$AU$34,0))),IF(基本設定シート!$B$11=基本設定シート!$C$7,IF(INDEX('入力シート（2026年度提出用）'!BU23:BU34,MATCH($AU$69,'入力シート（2026年度提出用）'!$AU$23:$AU$34,0))="",NA(),INDEX('入力シート（2026年度提出用）'!BU23:BU34,MATCH($AU$69,'入力シート（2026年度提出用）'!$AU$23:$AU$34,0)))))</f>
        <v>#N/A</v>
      </c>
      <c r="AY72" s="49" t="e">
        <f>IF(基本設定シート!$B$11=基本設定シート!$C$6,IF(INDEX('入力シート（2027年度提出用）'!BV23:BV34,MATCH($AU$69,'入力シート（2027年度提出用）'!$AU$23:$AU$34,0))="",NA(),INDEX('入力シート（2027年度提出用）'!BV23:BV34,MATCH($AU$69,'入力シート（2027年度提出用）'!$AU$23:$AU$34,0))),IF(基本設定シート!$B$11=基本設定シート!$C$7,IF(INDEX('入力シート（2026年度提出用）'!BV23:BV34,MATCH($AU$69,'入力シート（2026年度提出用）'!$AU$23:$AU$34,0))="",NA(),INDEX('入力シート（2026年度提出用）'!BV23:BV34,MATCH($AU$69,'入力シート（2026年度提出用）'!$AU$23:$AU$34,0)))))</f>
        <v>#N/A</v>
      </c>
      <c r="AZ72" s="49" t="e">
        <f>IF(基本設定シート!$B$11=基本設定シート!$C$6,IF(INDEX('入力シート（2027年度提出用）'!BW23:BW34,MATCH($AU$69,'入力シート（2027年度提出用）'!$AU$23:$AU$34,0))="",NA(),INDEX('入力シート（2027年度提出用）'!BW23:BW34,MATCH($AU$69,'入力シート（2027年度提出用）'!$AU$23:$AU$34,0))),IF(基本設定シート!$B$11=基本設定シート!$C$7,IF(INDEX('入力シート（2026年度提出用）'!BW23:BW34,MATCH($AU$69,'入力シート（2026年度提出用）'!$AU$23:$AU$34,0))="",NA(),INDEX('入力シート（2026年度提出用）'!BW23:BW34,MATCH($AU$69,'入力シート（2026年度提出用）'!$AU$23:$AU$34,0)))))</f>
        <v>#N/A</v>
      </c>
      <c r="BA72" s="49" t="e">
        <f>IF(基本設定シート!$B$11=基本設定シート!$C$6,IF(INDEX('入力シート（2027年度提出用）'!BX23:BX34,MATCH($AU$69,'入力シート（2027年度提出用）'!$AU$23:$AU$34,0))="",NA(),INDEX('入力シート（2027年度提出用）'!BX23:BX34,MATCH($AU$69,'入力シート（2027年度提出用）'!$AU$23:$AU$34,0))),IF(基本設定シート!$B$11=基本設定シート!$C$7,IF(INDEX('入力シート（2026年度提出用）'!BX23:BX34,MATCH($AU$69,'入力シート（2026年度提出用）'!$AU$23:$AU$34,0))="",NA(),INDEX('入力シート（2026年度提出用）'!BX23:BX34,MATCH($AU$69,'入力シート（2026年度提出用）'!$AU$23:$AU$34,0)))))</f>
        <v>#N/A</v>
      </c>
      <c r="BB72" s="49" t="e">
        <f>IF(基本設定シート!$B$11=基本設定シート!$C$6,IF(INDEX('入力シート（2027年度提出用）'!BY23:BY34,MATCH($AU$69,'入力シート（2027年度提出用）'!$AU$23:$AU$34,0))="",NA(),INDEX('入力シート（2027年度提出用）'!BY23:BY34,MATCH($AU$69,'入力シート（2027年度提出用）'!$AU$23:$AU$34,0))),IF(基本設定シート!$B$11=基本設定シート!$C$7,IF(INDEX('入力シート（2026年度提出用）'!BY23:BY34,MATCH($AU$69,'入力シート（2026年度提出用）'!$AU$23:$AU$34,0))="",NA(),INDEX('入力シート（2026年度提出用）'!BY23:BY34,MATCH($AU$69,'入力シート（2026年度提出用）'!$AU$23:$AU$34,0)))))</f>
        <v>#N/A</v>
      </c>
      <c r="BC72" s="49" t="e">
        <f>IF(基本設定シート!$B$11=基本設定シート!$C$6,IF(INDEX('入力シート（2027年度提出用）'!BZ23:BZ34,MATCH($AU$69,'入力シート（2027年度提出用）'!$AU$23:$AU$34,0))="",NA(),INDEX('入力シート（2027年度提出用）'!BZ23:BZ34,MATCH($AU$69,'入力シート（2027年度提出用）'!$AU$23:$AU$34,0))),IF(基本設定シート!$B$11=基本設定シート!$C$7,IF(INDEX('入力シート（2026年度提出用）'!BZ23:BZ34,MATCH($AU$69,'入力シート（2026年度提出用）'!$AU$23:$AU$34,0))="",NA(),INDEX('入力シート（2026年度提出用）'!BZ23:BZ34,MATCH($AU$69,'入力シート（2026年度提出用）'!$AU$23:$AU$34,0)))))</f>
        <v>#N/A</v>
      </c>
      <c r="BD72" s="49" t="e">
        <f>IF(基本設定シート!$B$11=基本設定シート!$C$6,IF(INDEX('入力シート（2027年度提出用）'!CA23:CA34,MATCH($AU$69,'入力シート（2027年度提出用）'!$AU$23:$AU$34,0))="",NA(),INDEX('入力シート（2027年度提出用）'!CA23:CA34,MATCH($AU$69,'入力シート（2027年度提出用）'!$AU$23:$AU$34,0))),IF(基本設定シート!$B$11=基本設定シート!$C$7,IF(INDEX('入力シート（2026年度提出用）'!CA23:CA34,MATCH($AU$69,'入力シート（2026年度提出用）'!$AU$23:$AU$34,0))="",NA(),INDEX('入力シート（2026年度提出用）'!CA23:CA34,MATCH($AU$69,'入力シート（2026年度提出用）'!$AU$23:$AU$34,0)))))</f>
        <v>#N/A</v>
      </c>
      <c r="BE72" s="49" t="e">
        <f>IF(基本設定シート!$B$11=基本設定シート!$C$6,IF(INDEX('入力シート（2027年度提出用）'!CB23:CB34,MATCH($AU$69,'入力シート（2027年度提出用）'!$AU$23:$AU$34,0))="",NA(),INDEX('入力シート（2027年度提出用）'!CB23:CB34,MATCH($AU$69,'入力シート（2027年度提出用）'!$AU$23:$AU$34,0))),IF(基本設定シート!$B$11=基本設定シート!$C$7,IF(INDEX('入力シート（2026年度提出用）'!CB23:CB34,MATCH($AU$69,'入力シート（2026年度提出用）'!$AU$23:$AU$34,0))="",NA(),INDEX('入力シート（2026年度提出用）'!CB23:CB34,MATCH($AU$69,'入力シート（2026年度提出用）'!$AU$23:$AU$34,0)))))</f>
        <v>#N/A</v>
      </c>
      <c r="BF72" s="49" t="e">
        <f>IF(基本設定シート!$B$11=基本設定シート!$C$6,IF(INDEX('入力シート（2027年度提出用）'!CC23:CC34,MATCH($AU$69,'入力シート（2027年度提出用）'!$AU$23:$AU$34,0))="",NA(),INDEX('入力シート（2027年度提出用）'!CC23:CC34,MATCH($AU$69,'入力シート（2027年度提出用）'!$AU$23:$AU$34,0))),IF(基本設定シート!$B$11=基本設定シート!$C$7,IF(INDEX('入力シート（2026年度提出用）'!CC23:CC34,MATCH($AU$69,'入力シート（2026年度提出用）'!$AU$23:$AU$34,0))="",NA(),INDEX('入力シート（2026年度提出用）'!CC23:CC34,MATCH($AU$69,'入力シート（2026年度提出用）'!$AU$23:$AU$34,0)))))</f>
        <v>#N/A</v>
      </c>
      <c r="BG72" s="49" t="e">
        <f>IF(基本設定シート!$B$11=基本設定シート!$C$6,IF(INDEX('入力シート（2027年度提出用）'!CD23:CD34,MATCH($AU$69,'入力シート（2027年度提出用）'!$AU$23:$AU$34,0))="",NA(),INDEX('入力シート（2027年度提出用）'!CD23:CD34,MATCH($AU$69,'入力シート（2027年度提出用）'!$AU$23:$AU$34,0))),IF(基本設定シート!$B$11=基本設定シート!$C$7,IF(INDEX('入力シート（2026年度提出用）'!CD23:CD34,MATCH($AU$69,'入力シート（2026年度提出用）'!$AU$23:$AU$34,0))="",NA(),INDEX('入力シート（2026年度提出用）'!CD23:CD34,MATCH($AU$69,'入力シート（2026年度提出用）'!$AU$23:$AU$34,0)))))</f>
        <v>#N/A</v>
      </c>
      <c r="BH72" s="49" t="e">
        <f>IF(基本設定シート!$B$11=基本設定シート!$C$6,IF(INDEX('入力シート（2027年度提出用）'!CE23:CE34,MATCH($AU$69,'入力シート（2027年度提出用）'!$AU$23:$AU$34,0))="",NA(),INDEX('入力シート（2027年度提出用）'!CE23:CE34,MATCH($AU$69,'入力シート（2027年度提出用）'!$AU$23:$AU$34,0))),IF(基本設定シート!$B$11=基本設定シート!$C$7,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398" t="str">
        <f t="shared" si="45"/>
        <v>液化石油ガス(LPG)</v>
      </c>
      <c r="AJ73" s="398"/>
      <c r="AK73" s="398"/>
      <c r="AL73" s="399" t="e">
        <f t="shared" si="46"/>
        <v>#N/A</v>
      </c>
      <c r="AM73" s="399"/>
      <c r="AN73" s="20"/>
      <c r="AO73" s="20"/>
      <c r="AP73" s="20"/>
      <c r="AQ73" s="20"/>
      <c r="AR73" s="20"/>
      <c r="AS73" s="20"/>
      <c r="AT73" s="20"/>
      <c r="AU73" s="48" t="str">
        <f>基本設定シート!$C$7&amp;"年度（使用量）"</f>
        <v>2027年度（使用量）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398" t="str">
        <f t="shared" si="45"/>
        <v>電気（充電）</v>
      </c>
      <c r="AJ74" s="398"/>
      <c r="AK74" s="398"/>
      <c r="AL74" s="399" t="e">
        <f t="shared" si="46"/>
        <v>#N/A</v>
      </c>
      <c r="AM74" s="399"/>
      <c r="AN74" s="20"/>
      <c r="AO74" s="20"/>
      <c r="AP74" s="20"/>
      <c r="AQ74" s="20"/>
      <c r="AR74" s="20"/>
      <c r="AS74" s="20"/>
      <c r="AT74" s="20"/>
      <c r="AU74" s="48" t="str">
        <f>基本設定シート!$C$7&amp;"年度（料金）"</f>
        <v>2027年度（料金）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398" t="str">
        <f t="shared" si="45"/>
        <v>水素</v>
      </c>
      <c r="AJ75" s="398"/>
      <c r="AK75" s="398"/>
      <c r="AL75" s="399" t="e">
        <f t="shared" si="46"/>
        <v>#N/A</v>
      </c>
      <c r="AM75" s="399"/>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398" t="str">
        <f t="shared" si="45"/>
        <v>上記以外のエネルギー（選択）</v>
      </c>
      <c r="AJ76" s="398"/>
      <c r="AK76" s="398"/>
      <c r="AL76" s="399" t="e">
        <f t="shared" si="46"/>
        <v>#N/A</v>
      </c>
      <c r="AM76" s="399"/>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397"/>
      <c r="AJ77" s="397"/>
      <c r="AK77" s="397"/>
      <c r="AL77" s="396"/>
      <c r="AM77" s="396"/>
      <c r="AN77" s="20"/>
      <c r="AO77" s="20"/>
      <c r="AP77" s="20"/>
      <c r="AQ77" s="20"/>
      <c r="AR77" s="20"/>
      <c r="AS77" s="20"/>
      <c r="AT77" s="20"/>
      <c r="AU77" s="24"/>
      <c r="AV77" s="383" t="str">
        <f>基本設定シート!$B$11-1&amp;"年度"</f>
        <v>2025年度</v>
      </c>
      <c r="AW77" s="383"/>
      <c r="AX77" s="383" t="str">
        <f>基本設定シート!$B$11&amp;"年度"</f>
        <v>2026年度</v>
      </c>
      <c r="AY77" s="383"/>
      <c r="AZ77" s="383" t="str">
        <f>基本設定シート!$B$11+1&amp;"年度"</f>
        <v>2027年度</v>
      </c>
      <c r="BA77" s="383"/>
      <c r="BB77" s="383" t="str">
        <f>IF(基本設定シート!$B$11=基本設定シート!$C$8,"",基本設定シート!$B$11+2&amp;"年度")</f>
        <v>2028年度</v>
      </c>
      <c r="BC77" s="383"/>
      <c r="BD77" s="383" t="str">
        <f>IF(OR(基本設定シート!$B$11=基本設定シート!$C$7,基本設定シート!$B$11=基本設定シート!$C$8),"",基本設定シート!$B$11+3&amp;"年度")</f>
        <v>2029年度</v>
      </c>
      <c r="BE77" s="383"/>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397"/>
      <c r="AJ78" s="397"/>
      <c r="AK78" s="397"/>
      <c r="AL78" s="396"/>
      <c r="AM78" s="396"/>
      <c r="AN78" s="20"/>
      <c r="AO78" s="20"/>
      <c r="AP78" s="20"/>
      <c r="AQ78" s="20"/>
      <c r="AR78" s="20"/>
      <c r="AS78" s="60"/>
      <c r="AT78" s="20"/>
      <c r="AU78" s="48" t="str">
        <f>E23</f>
        <v>ガソリン</v>
      </c>
      <c r="AV78" s="382" t="str">
        <f>'入力シート（2026年度提出用）'!BK23</f>
        <v/>
      </c>
      <c r="AW78" s="382"/>
      <c r="AX78" s="382" t="str">
        <f>IF(基本設定シート!$B$11=基本設定シート!$C$6,'入力シート（2027年度提出用）'!BK23,IF(基本設定シート!$B$11=基本設定シート!$C$7,BK23,NA()))</f>
        <v/>
      </c>
      <c r="AY78" s="382"/>
      <c r="AZ78" s="382" t="str">
        <f>IF(基本設定シート!$B$11=基本設定シート!$C$6,BK23,NA())</f>
        <v/>
      </c>
      <c r="BA78" s="382"/>
      <c r="BB78" s="382"/>
      <c r="BC78" s="382"/>
      <c r="BD78" s="382"/>
      <c r="BE78" s="382"/>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397"/>
      <c r="AJ79" s="397"/>
      <c r="AK79" s="397"/>
      <c r="AL79" s="396"/>
      <c r="AM79" s="396"/>
      <c r="AN79" s="20"/>
      <c r="AO79" s="20"/>
      <c r="AP79" s="20"/>
      <c r="AQ79" s="20"/>
      <c r="AR79" s="20"/>
      <c r="AS79" s="20"/>
      <c r="AT79" s="20"/>
      <c r="AU79" s="48" t="str">
        <f>E24</f>
        <v>軽油</v>
      </c>
      <c r="AV79" s="382" t="str">
        <f>'入力シート（2026年度提出用）'!BK24</f>
        <v/>
      </c>
      <c r="AW79" s="382"/>
      <c r="AX79" s="382" t="str">
        <f>IF(基本設定シート!$B$11=基本設定シート!$C$6,'入力シート（2027年度提出用）'!BK24,IF(基本設定シート!$B$11=基本設定シート!$C$7,BK24,NA()))</f>
        <v/>
      </c>
      <c r="AY79" s="382"/>
      <c r="AZ79" s="382" t="str">
        <f>IF(基本設定シート!$B$11=基本設定シート!$C$6,BK24,NA())</f>
        <v/>
      </c>
      <c r="BA79" s="382"/>
      <c r="BB79" s="382"/>
      <c r="BC79" s="382"/>
      <c r="BD79" s="382"/>
      <c r="BE79" s="382"/>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382" t="str">
        <f>'入力シート（2026年度提出用）'!BK25</f>
        <v/>
      </c>
      <c r="AW80" s="382"/>
      <c r="AX80" s="382" t="str">
        <f>IF(基本設定シート!$B$11=基本設定シート!$C$6,'入力シート（2027年度提出用）'!BK25,IF(基本設定シート!$B$11=基本設定シート!$C$7,BK25,NA()))</f>
        <v/>
      </c>
      <c r="AY80" s="382"/>
      <c r="AZ80" s="382" t="str">
        <f>IF(基本設定シート!$B$11=基本設定シート!$C$6,BK25,NA())</f>
        <v/>
      </c>
      <c r="BA80" s="382"/>
      <c r="BB80" s="382"/>
      <c r="BC80" s="382"/>
      <c r="BD80" s="382"/>
      <c r="BE80" s="382"/>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382" t="str">
        <f>'入力シート（2026年度提出用）'!BK26</f>
        <v/>
      </c>
      <c r="AW81" s="382"/>
      <c r="AX81" s="382" t="str">
        <f>IF(基本設定シート!$B$11=基本設定シート!$C$6,'入力シート（2027年度提出用）'!BK26,IF(基本設定シート!$B$11=基本設定シート!$C$7,BK26,NA()))</f>
        <v/>
      </c>
      <c r="AY81" s="382"/>
      <c r="AZ81" s="382" t="str">
        <f>IF(基本設定シート!$B$11=基本設定シート!$C$6,BK26,NA())</f>
        <v/>
      </c>
      <c r="BA81" s="382"/>
      <c r="BB81" s="382"/>
      <c r="BC81" s="382"/>
      <c r="BD81" s="382"/>
      <c r="BE81" s="382"/>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"◆省エネの取り組みの実施状況（"&amp;基本設定シート!C7&amp;"年度の状況）と実施計画"</f>
        <v>◆省エネの取り組みの実施状況（2027年度の状況）と実施計画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382" t="str">
        <f>'入力シート（2026年度提出用）'!BK27</f>
        <v/>
      </c>
      <c r="AW82" s="382"/>
      <c r="AX82" s="382" t="str">
        <f>IF(基本設定シート!$B$11=基本設定シート!$C$6,'入力シート（2027年度提出用）'!BK27,IF(基本設定シート!$B$11=基本設定シート!$C$7,BK27,NA()))</f>
        <v/>
      </c>
      <c r="AY82" s="382"/>
      <c r="AZ82" s="382" t="str">
        <f>IF(基本設定シート!$B$11=基本設定シート!$C$6,BK27,NA())</f>
        <v/>
      </c>
      <c r="BA82" s="382"/>
      <c r="BB82" s="382"/>
      <c r="BC82" s="382"/>
      <c r="BD82" s="382"/>
      <c r="BE82" s="382"/>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382" t="str">
        <f>'入力シート（2026年度提出用）'!BK28</f>
        <v/>
      </c>
      <c r="AW83" s="382"/>
      <c r="AX83" s="382" t="str">
        <f>IF(基本設定シート!$B$11=基本設定シート!$C$6,'入力シート（2027年度提出用）'!BK28,IF(基本設定シート!$B$11=基本設定シート!$C$7,BK28,NA()))</f>
        <v/>
      </c>
      <c r="AY83" s="382"/>
      <c r="AZ83" s="382" t="str">
        <f>IF(基本設定シート!$B$11=基本設定シート!$C$6,BK28,NA())</f>
        <v/>
      </c>
      <c r="BA83" s="382"/>
      <c r="BB83" s="382"/>
      <c r="BC83" s="382"/>
      <c r="BD83" s="382"/>
      <c r="BE83" s="382"/>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472" t="s">
        <v>4089</v>
      </c>
      <c r="D84" s="474"/>
      <c r="E84" s="472" t="s">
        <v>4090</v>
      </c>
      <c r="F84" s="473"/>
      <c r="G84" s="473"/>
      <c r="H84" s="473"/>
      <c r="I84" s="473"/>
      <c r="J84" s="473"/>
      <c r="K84" s="473"/>
      <c r="L84" s="473"/>
      <c r="M84" s="474"/>
      <c r="N84" s="471" t="s">
        <v>4092</v>
      </c>
      <c r="O84" s="471"/>
      <c r="P84" s="471"/>
      <c r="Q84" s="471"/>
      <c r="R84" s="471"/>
      <c r="S84" s="471"/>
      <c r="T84" s="471"/>
      <c r="U84" s="471"/>
      <c r="V84" s="471"/>
      <c r="W84" s="471"/>
      <c r="X84" s="471"/>
      <c r="Y84" s="471"/>
      <c r="Z84" s="471"/>
      <c r="AA84" s="471" t="s">
        <v>4130</v>
      </c>
      <c r="AB84" s="471"/>
      <c r="AC84" s="471"/>
      <c r="AD84" s="471"/>
      <c r="AE84" s="13"/>
      <c r="AF84" s="20"/>
      <c r="AG84" s="20"/>
      <c r="AH84" s="20"/>
      <c r="AI84" s="20"/>
      <c r="AJ84" s="20"/>
      <c r="AK84" s="20"/>
      <c r="AL84" s="71" t="s">
        <v>4097</v>
      </c>
      <c r="AM84" s="20"/>
      <c r="AN84" s="20"/>
      <c r="AO84" s="20"/>
      <c r="AP84" s="20"/>
      <c r="AQ84" s="20"/>
      <c r="AR84" s="20"/>
      <c r="AS84" s="20"/>
      <c r="AT84" s="20"/>
      <c r="AU84" s="48"/>
      <c r="AV84" s="382"/>
      <c r="AW84" s="382"/>
      <c r="AX84" s="382"/>
      <c r="AY84" s="382"/>
      <c r="AZ84" s="382"/>
      <c r="BA84" s="382"/>
      <c r="BB84" s="382"/>
      <c r="BC84" s="382"/>
      <c r="BD84" s="382"/>
      <c r="BE84" s="382"/>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513">
        <v>1</v>
      </c>
      <c r="D85" s="514"/>
      <c r="E85" s="475" t="str">
        <f>取組リスト!B3</f>
        <v>省エネ・地球温暖化対策に関する社内研修等の実施</v>
      </c>
      <c r="F85" s="476"/>
      <c r="G85" s="476"/>
      <c r="H85" s="476"/>
      <c r="I85" s="476"/>
      <c r="J85" s="476"/>
      <c r="K85" s="476"/>
      <c r="L85" s="476"/>
      <c r="M85" s="477"/>
      <c r="N85" s="27"/>
      <c r="O85" s="47" t="s">
        <v>4093</v>
      </c>
      <c r="P85" s="47"/>
      <c r="Q85" s="47"/>
      <c r="R85" s="47" t="s">
        <v>4227</v>
      </c>
      <c r="S85" s="47"/>
      <c r="T85" s="47"/>
      <c r="U85" s="47" t="s">
        <v>4094</v>
      </c>
      <c r="V85" s="47"/>
      <c r="W85" s="47"/>
      <c r="X85" s="47"/>
      <c r="Y85" s="47"/>
      <c r="Z85" s="28"/>
      <c r="AA85" s="513" t="str">
        <f>IF(基本設定シート!$B$11=基本設定シート!$C$6,'入力シート（2027年度提出用）'!AH85,IF(基本設定シート!$B$11=基本設定シート!$C$7,'入力シート（2026年度提出用）'!AH85,""))</f>
        <v>未選択</v>
      </c>
      <c r="AB85" s="539"/>
      <c r="AC85" s="539"/>
      <c r="AD85" s="514"/>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382"/>
      <c r="AW85" s="382"/>
      <c r="AX85" s="382"/>
      <c r="AY85" s="382"/>
      <c r="AZ85" s="382"/>
      <c r="BA85" s="382"/>
      <c r="BB85" s="382"/>
      <c r="BC85" s="382"/>
      <c r="BD85" s="382"/>
      <c r="BE85" s="382"/>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513">
        <f>C85+1</f>
        <v>2</v>
      </c>
      <c r="D86" s="514"/>
      <c r="E86" s="475" t="str">
        <f>取組リスト!B4</f>
        <v>車両毎の燃料使用量や走行距離の把握・記録・社内共有</v>
      </c>
      <c r="F86" s="476"/>
      <c r="G86" s="476"/>
      <c r="H86" s="476"/>
      <c r="I86" s="476"/>
      <c r="J86" s="476"/>
      <c r="K86" s="476"/>
      <c r="L86" s="476"/>
      <c r="M86" s="477"/>
      <c r="N86" s="27"/>
      <c r="O86" s="47" t="s">
        <v>4093</v>
      </c>
      <c r="P86" s="47"/>
      <c r="Q86" s="47"/>
      <c r="R86" s="47" t="s">
        <v>4227</v>
      </c>
      <c r="S86" s="47"/>
      <c r="T86" s="47"/>
      <c r="U86" s="47" t="s">
        <v>4094</v>
      </c>
      <c r="V86" s="47"/>
      <c r="W86" s="47"/>
      <c r="X86" s="47"/>
      <c r="Y86" s="47"/>
      <c r="Z86" s="28"/>
      <c r="AA86" s="513" t="str">
        <f>IF(基本設定シート!$B$11=基本設定シート!$C$6,'入力シート（2027年度提出用）'!AH86,IF(基本設定シート!$B$11=基本設定シート!$C$7,'入力シート（2026年度提出用）'!AH86,""))</f>
        <v>未選択</v>
      </c>
      <c r="AB86" s="539"/>
      <c r="AC86" s="539"/>
      <c r="AD86" s="514"/>
      <c r="AE86" s="13"/>
      <c r="AF86" s="20"/>
      <c r="AG86" s="7"/>
      <c r="AH86" s="69" t="str">
        <f t="shared" ref="AH86:AH99" si="49">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382"/>
      <c r="AW86" s="382"/>
      <c r="AX86" s="382"/>
      <c r="AY86" s="382"/>
      <c r="AZ86" s="382" t="e">
        <f>IF(基本設定シート!$B$11=基本設定シート!$C$6,NA(),IF(基本設定シート!$B$11=基本設定シート!$C$7,IF(AB61="",NA(),AB61),NA()))</f>
        <v>#N/A</v>
      </c>
      <c r="BA86" s="382"/>
      <c r="BB86" s="382" t="e">
        <f>IF(基本設定シート!$B$11=基本設定シート!$C$6,IF(AB61="",NA(),AB61),NA())</f>
        <v>#N/A</v>
      </c>
      <c r="BC86" s="382"/>
      <c r="BD86" s="382"/>
      <c r="BE86" s="382"/>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513">
        <f t="shared" ref="C87:C105" si="50">C86+1</f>
        <v>3</v>
      </c>
      <c r="D87" s="514"/>
      <c r="E87" s="475" t="str">
        <f>取組リスト!B5</f>
        <v>エコドライブ推進に関する責任者の設置・エコドライブ推進体制の整備</v>
      </c>
      <c r="F87" s="476"/>
      <c r="G87" s="476"/>
      <c r="H87" s="476"/>
      <c r="I87" s="476"/>
      <c r="J87" s="476"/>
      <c r="K87" s="476"/>
      <c r="L87" s="476"/>
      <c r="M87" s="477"/>
      <c r="N87" s="27"/>
      <c r="O87" s="47" t="s">
        <v>4093</v>
      </c>
      <c r="P87" s="47"/>
      <c r="Q87" s="47"/>
      <c r="R87" s="47" t="s">
        <v>4227</v>
      </c>
      <c r="S87" s="47"/>
      <c r="T87" s="47"/>
      <c r="U87" s="47" t="s">
        <v>4094</v>
      </c>
      <c r="V87" s="47"/>
      <c r="W87" s="47"/>
      <c r="X87" s="47"/>
      <c r="Y87" s="47"/>
      <c r="Z87" s="28"/>
      <c r="AA87" s="513" t="str">
        <f>IF(基本設定シート!$B$11=基本設定シート!$C$6,'入力シート（2027年度提出用）'!AH87,IF(基本設定シート!$B$11=基本設定シート!$C$7,'入力シート（2026年度提出用）'!AH87,""))</f>
        <v>未選択</v>
      </c>
      <c r="AB87" s="539"/>
      <c r="AC87" s="539"/>
      <c r="AD87" s="514"/>
      <c r="AE87" s="13"/>
      <c r="AF87" s="20"/>
      <c r="AG87" s="7"/>
      <c r="AH87" s="69" t="str">
        <f t="shared" si="49"/>
        <v>未選択</v>
      </c>
      <c r="AI87" s="70"/>
      <c r="AJ87" s="26"/>
      <c r="AK87" s="20"/>
      <c r="AL87" s="42" t="str">
        <f>基本設定シート!$B$11&amp;"年度"</f>
        <v>2026年度</v>
      </c>
      <c r="AM87" s="42">
        <f>IF(基本設定シート!$B$11=基本設定シート!$C$6,'入力シート（2027年度提出用）'!AM87,IF(基本設定シート!$B$11=基本設定シート!$C$7,COUNTIF($AG$85:$AG$100,1),""))</f>
        <v>0</v>
      </c>
      <c r="AN87" s="42">
        <f>IF(基本設定シート!$B$11=基本設定シート!$C$6,'入力シート（2027年度提出用）'!AN87,IF(基本設定シート!$B$11=基本設定シート!$C$7,COUNTIF($AG$85:$AG$100,2),""))</f>
        <v>0</v>
      </c>
      <c r="AO87" s="42">
        <f>IF(基本設定シート!$B$11=基本設定シート!$C$6,'入力シート（2027年度提出用）'!AO87,IF(基本設定シート!$B$11=基本設定シート!$C$7,COUNTIF($AG$85:$AG$100,3),""))</f>
        <v>0</v>
      </c>
      <c r="AP87" s="42">
        <f>IF(基本設定シート!$B$11=基本設定シート!$C$6,'入力シート（2027年度提出用）'!AP87,IF(基本設定シート!$B$11=基本設定シート!$C$7,COUNTIF($AG$85:$AG$100,4),""))</f>
        <v>0</v>
      </c>
      <c r="AQ87" s="42">
        <f>IF(基本設定シート!$B$11=基本設定シート!$C$6,'入力シート（2027年度提出用）'!AQ87,IF(基本設定シート!$B$11=基本設定シート!$C$7,C100-AP87,""))</f>
        <v>16</v>
      </c>
      <c r="AR87" s="72">
        <f>IFERROR(AM87/AQ87,"")</f>
        <v>0</v>
      </c>
      <c r="AS87" s="72">
        <f>IFERROR((AM87+AN87)/AQ87,"")</f>
        <v>0</v>
      </c>
      <c r="AT87" s="20"/>
      <c r="AU87" s="24" t="s">
        <v>23</v>
      </c>
      <c r="AV87" s="382">
        <f>ROUNDDOWN(SUM(AV78:AW85),1)</f>
        <v>0</v>
      </c>
      <c r="AW87" s="382"/>
      <c r="AX87" s="382">
        <f>ROUNDDOWN(SUM(AX78:AY85),1)</f>
        <v>0</v>
      </c>
      <c r="AY87" s="382"/>
      <c r="AZ87" s="382">
        <f>IF(基本設定シート!$B$11=基本設定シート!$C$6,ROUNDDOWN(SUM(AZ78:BA85),1),NA())</f>
        <v>0</v>
      </c>
      <c r="BA87" s="382"/>
      <c r="BB87" s="382"/>
      <c r="BC87" s="382"/>
      <c r="BD87" s="382"/>
      <c r="BE87" s="382"/>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513">
        <f t="shared" si="50"/>
        <v>4</v>
      </c>
      <c r="D88" s="514"/>
      <c r="E88" s="475" t="str">
        <f>取組リスト!B6</f>
        <v>運転する全社員に対するエコドライブに関する研修・教育の実施</v>
      </c>
      <c r="F88" s="476"/>
      <c r="G88" s="476"/>
      <c r="H88" s="476"/>
      <c r="I88" s="476"/>
      <c r="J88" s="476"/>
      <c r="K88" s="476"/>
      <c r="L88" s="476"/>
      <c r="M88" s="477"/>
      <c r="N88" s="27"/>
      <c r="O88" s="47" t="s">
        <v>4093</v>
      </c>
      <c r="P88" s="47"/>
      <c r="Q88" s="47"/>
      <c r="R88" s="47" t="s">
        <v>4227</v>
      </c>
      <c r="S88" s="47"/>
      <c r="T88" s="47"/>
      <c r="U88" s="47" t="s">
        <v>4094</v>
      </c>
      <c r="V88" s="47"/>
      <c r="W88" s="47"/>
      <c r="X88" s="13"/>
      <c r="Y88" s="47"/>
      <c r="Z88" s="28"/>
      <c r="AA88" s="513" t="str">
        <f>IF(基本設定シート!$B$11=基本設定シート!$C$6,'入力シート（2027年度提出用）'!AH88,IF(基本設定シート!$B$11=基本設定シート!$C$7,'入力シート（2026年度提出用）'!AH88,""))</f>
        <v>未選択</v>
      </c>
      <c r="AB88" s="539"/>
      <c r="AC88" s="539"/>
      <c r="AD88" s="514"/>
      <c r="AE88" s="13"/>
      <c r="AF88" s="20"/>
      <c r="AG88" s="7"/>
      <c r="AH88" s="69" t="str">
        <f t="shared" si="49"/>
        <v>未選択</v>
      </c>
      <c r="AI88" s="70"/>
      <c r="AJ88" s="26"/>
      <c r="AK88" s="20"/>
      <c r="AL88" s="42" t="str">
        <f>IF(基本設定シート!$B$11=基本設定シート!$C$8,"",基本設定シート!$B$11+1&amp;"年度")</f>
        <v>2027年度</v>
      </c>
      <c r="AM88" s="42">
        <f>IF(基本設定シート!$B$11=基本設定シート!$C$6,COUNTIF($AG$85:$AG$100,1),"")</f>
        <v>0</v>
      </c>
      <c r="AN88" s="42">
        <f>IF(基本設定シート!$B$11=基本設定シート!$C$6,COUNTIF($AG$85:$AG$100,2),"")</f>
        <v>0</v>
      </c>
      <c r="AO88" s="42">
        <f>IF(基本設定シート!$B$11=基本設定シート!$C$6,COUNTIF($AG$85:$AG$100,3),"")</f>
        <v>0</v>
      </c>
      <c r="AP88" s="42">
        <f>IF(基本設定シート!$B$11=基本設定シート!$C$6,COUNTIF($AG$85:$AG$100,4),"")</f>
        <v>0</v>
      </c>
      <c r="AQ88" s="42">
        <f>IF(基本設定シート!$B$11=基本設定シート!$C$6,C100-AP88,"")</f>
        <v>16</v>
      </c>
      <c r="AR88" s="72">
        <f>IFERROR(AM88/AQ88,"")</f>
        <v>0</v>
      </c>
      <c r="AS88" s="72">
        <f>IFERROR((AM88+AN88)/AQ88,"")</f>
        <v>0</v>
      </c>
      <c r="AT88" s="20"/>
      <c r="AU88" s="24" t="s">
        <v>4178</v>
      </c>
      <c r="AV88" s="383" t="s">
        <v>4179</v>
      </c>
      <c r="AW88" s="383"/>
      <c r="AX88" s="540" t="e">
        <f>IF(AX77="","-",($AV$87-AX87)/$AV$87)</f>
        <v>#DIV/0!</v>
      </c>
      <c r="AY88" s="540"/>
      <c r="AZ88" s="540" t="e">
        <f>IF(AZ77="","-",($AV$87-AZ87)/$AV$87)</f>
        <v>#DIV/0!</v>
      </c>
      <c r="BA88" s="540"/>
      <c r="BB88" s="540" t="s">
        <v>27</v>
      </c>
      <c r="BC88" s="540"/>
      <c r="BD88" s="383" t="s">
        <v>27</v>
      </c>
      <c r="BE88" s="383"/>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513">
        <f t="shared" si="50"/>
        <v>5</v>
      </c>
      <c r="D89" s="514"/>
      <c r="E89" s="475" t="str">
        <f>取組リスト!B7</f>
        <v>チェックシート等を活用したエコドライブの実践</v>
      </c>
      <c r="F89" s="476"/>
      <c r="G89" s="476"/>
      <c r="H89" s="476"/>
      <c r="I89" s="476"/>
      <c r="J89" s="476"/>
      <c r="K89" s="476"/>
      <c r="L89" s="476"/>
      <c r="M89" s="477"/>
      <c r="N89" s="27"/>
      <c r="O89" s="47" t="s">
        <v>4093</v>
      </c>
      <c r="P89" s="47"/>
      <c r="Q89" s="47"/>
      <c r="R89" s="47" t="s">
        <v>4227</v>
      </c>
      <c r="S89" s="47"/>
      <c r="T89" s="47"/>
      <c r="U89" s="47" t="s">
        <v>4094</v>
      </c>
      <c r="V89" s="47"/>
      <c r="W89" s="47"/>
      <c r="X89" s="47"/>
      <c r="Y89" s="47"/>
      <c r="Z89" s="28"/>
      <c r="AA89" s="513" t="str">
        <f>IF(基本設定シート!$B$11=基本設定シート!$C$6,'入力シート（2027年度提出用）'!AH89,IF(基本設定シート!$B$11=基本設定シート!$C$7,'入力シート（2026年度提出用）'!AH89,""))</f>
        <v>未選択</v>
      </c>
      <c r="AB89" s="539"/>
      <c r="AC89" s="539"/>
      <c r="AD89" s="514"/>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c r="AN89" s="42"/>
      <c r="AO89" s="42"/>
      <c r="AP89" s="42"/>
      <c r="AQ89" s="42"/>
      <c r="AR89" s="42"/>
      <c r="AS89" s="24"/>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513">
        <f t="shared" si="50"/>
        <v>6</v>
      </c>
      <c r="D90" s="514"/>
      <c r="E90" s="475" t="str">
        <f>取組リスト!B8</f>
        <v>優良エコドライバーへの表彰等</v>
      </c>
      <c r="F90" s="476"/>
      <c r="G90" s="476"/>
      <c r="H90" s="476"/>
      <c r="I90" s="476"/>
      <c r="J90" s="476"/>
      <c r="K90" s="476"/>
      <c r="L90" s="476"/>
      <c r="M90" s="477"/>
      <c r="N90" s="27"/>
      <c r="O90" s="47" t="s">
        <v>4093</v>
      </c>
      <c r="P90" s="47"/>
      <c r="Q90" s="47"/>
      <c r="R90" s="47" t="s">
        <v>4227</v>
      </c>
      <c r="S90" s="47"/>
      <c r="T90" s="47"/>
      <c r="U90" s="47" t="s">
        <v>4094</v>
      </c>
      <c r="V90" s="47"/>
      <c r="W90" s="47"/>
      <c r="X90" s="47"/>
      <c r="Y90" s="47"/>
      <c r="Z90" s="28"/>
      <c r="AA90" s="513" t="str">
        <f>IF(基本設定シート!$B$11=基本設定シート!$C$6,'入力シート（2027年度提出用）'!AH90,IF(基本設定シート!$B$11=基本設定シート!$C$7,'入力シート（2026年度提出用）'!AH90,""))</f>
        <v>未選択</v>
      </c>
      <c r="AB90" s="539"/>
      <c r="AC90" s="539"/>
      <c r="AD90" s="514"/>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513">
        <f t="shared" si="50"/>
        <v>7</v>
      </c>
      <c r="D91" s="514"/>
      <c r="E91" s="475" t="str">
        <f>取組リスト!B9</f>
        <v>輸送や配車効率の向上に資する情報システム（車両動態システム等）の導入</v>
      </c>
      <c r="F91" s="476"/>
      <c r="G91" s="476"/>
      <c r="H91" s="476"/>
      <c r="I91" s="476"/>
      <c r="J91" s="476"/>
      <c r="K91" s="476"/>
      <c r="L91" s="476"/>
      <c r="M91" s="477"/>
      <c r="N91" s="27"/>
      <c r="O91" s="47" t="s">
        <v>4093</v>
      </c>
      <c r="P91" s="47"/>
      <c r="Q91" s="47"/>
      <c r="R91" s="47" t="s">
        <v>4227</v>
      </c>
      <c r="S91" s="47"/>
      <c r="T91" s="47"/>
      <c r="U91" s="47" t="s">
        <v>4094</v>
      </c>
      <c r="V91" s="47"/>
      <c r="W91" s="47"/>
      <c r="X91" s="47"/>
      <c r="Y91" s="47"/>
      <c r="Z91" s="28"/>
      <c r="AA91" s="513" t="str">
        <f>IF(基本設定シート!$B$11=基本設定シート!$C$6,'入力シート（2027年度提出用）'!AH91,IF(基本設定シート!$B$11=基本設定シート!$C$7,'入力シート（2026年度提出用）'!AH91,""))</f>
        <v>未選択</v>
      </c>
      <c r="AB91" s="539"/>
      <c r="AC91" s="539"/>
      <c r="AD91" s="514"/>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513">
        <f t="shared" si="50"/>
        <v>8</v>
      </c>
      <c r="D92" s="514"/>
      <c r="E92" s="475" t="str">
        <f>取組リスト!B10</f>
        <v>日常及び定期的な保守・点検・修理の実施・記録</v>
      </c>
      <c r="F92" s="476"/>
      <c r="G92" s="476"/>
      <c r="H92" s="476"/>
      <c r="I92" s="476"/>
      <c r="J92" s="476"/>
      <c r="K92" s="476"/>
      <c r="L92" s="476"/>
      <c r="M92" s="477"/>
      <c r="N92" s="27"/>
      <c r="O92" s="47" t="s">
        <v>4093</v>
      </c>
      <c r="P92" s="47"/>
      <c r="Q92" s="47"/>
      <c r="R92" s="47" t="s">
        <v>4227</v>
      </c>
      <c r="S92" s="47"/>
      <c r="T92" s="47"/>
      <c r="U92" s="47" t="s">
        <v>4094</v>
      </c>
      <c r="V92" s="47"/>
      <c r="W92" s="47"/>
      <c r="X92" s="47"/>
      <c r="Y92" s="47"/>
      <c r="Z92" s="28"/>
      <c r="AA92" s="513" t="str">
        <f>IF(基本設定シート!$B$11=基本設定シート!$C$6,'入力シート（2027年度提出用）'!AH92,IF(基本設定シート!$B$11=基本設定シート!$C$7,'入力シート（2026年度提出用）'!AH92,""))</f>
        <v>未選択</v>
      </c>
      <c r="AB92" s="539"/>
      <c r="AC92" s="539"/>
      <c r="AD92" s="514"/>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513">
        <f t="shared" si="50"/>
        <v>9</v>
      </c>
      <c r="D93" s="514"/>
      <c r="E93" s="475" t="str">
        <f>取組リスト!B11</f>
        <v>目的地までの効率的なルート選定</v>
      </c>
      <c r="F93" s="476"/>
      <c r="G93" s="476"/>
      <c r="H93" s="476"/>
      <c r="I93" s="476"/>
      <c r="J93" s="476"/>
      <c r="K93" s="476"/>
      <c r="L93" s="476"/>
      <c r="M93" s="477"/>
      <c r="N93" s="27"/>
      <c r="O93" s="47" t="s">
        <v>4093</v>
      </c>
      <c r="P93" s="47"/>
      <c r="Q93" s="47"/>
      <c r="R93" s="47" t="s">
        <v>4227</v>
      </c>
      <c r="S93" s="47"/>
      <c r="T93" s="47"/>
      <c r="U93" s="47" t="s">
        <v>4094</v>
      </c>
      <c r="V93" s="47"/>
      <c r="W93" s="47"/>
      <c r="X93" s="47"/>
      <c r="Y93" s="47"/>
      <c r="Z93" s="28"/>
      <c r="AA93" s="513" t="str">
        <f>IF(基本設定シート!$B$11=基本設定シート!$C$6,'入力シート（2027年度提出用）'!AH93,IF(基本設定シート!$B$11=基本設定シート!$C$7,'入力シート（2026年度提出用）'!AH93,""))</f>
        <v>未選択</v>
      </c>
      <c r="AB93" s="539"/>
      <c r="AC93" s="539"/>
      <c r="AD93" s="514"/>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513">
        <f t="shared" si="50"/>
        <v>10</v>
      </c>
      <c r="D94" s="514"/>
      <c r="E94" s="475" t="str">
        <f>取組リスト!B12</f>
        <v>目的や輸送量に応じた車両を使用するなどの適切な車両管理</v>
      </c>
      <c r="F94" s="476"/>
      <c r="G94" s="476"/>
      <c r="H94" s="476"/>
      <c r="I94" s="476"/>
      <c r="J94" s="476"/>
      <c r="K94" s="476"/>
      <c r="L94" s="476"/>
      <c r="M94" s="477"/>
      <c r="N94" s="27"/>
      <c r="O94" s="47" t="s">
        <v>4093</v>
      </c>
      <c r="P94" s="47"/>
      <c r="Q94" s="47"/>
      <c r="R94" s="47" t="s">
        <v>4227</v>
      </c>
      <c r="S94" s="47"/>
      <c r="T94" s="47"/>
      <c r="U94" s="47" t="s">
        <v>4094</v>
      </c>
      <c r="V94" s="47"/>
      <c r="W94" s="47"/>
      <c r="X94" s="47"/>
      <c r="Y94" s="47"/>
      <c r="Z94" s="28"/>
      <c r="AA94" s="513" t="str">
        <f>IF(基本設定シート!$B$11=基本設定シート!$C$6,'入力シート（2027年度提出用）'!AH94,IF(基本設定シート!$B$11=基本設定シート!$C$7,'入力シート（2026年度提出用）'!AH94,""))</f>
        <v>未選択</v>
      </c>
      <c r="AB94" s="539"/>
      <c r="AC94" s="539"/>
      <c r="AD94" s="514"/>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513">
        <f t="shared" si="50"/>
        <v>11</v>
      </c>
      <c r="D95" s="514"/>
      <c r="E95" s="475" t="str">
        <f>取組リスト!B13</f>
        <v>燃費が向上する装置等の計画的な導入（アイドリングストップ装置や低燃費タイヤ等）</v>
      </c>
      <c r="F95" s="476"/>
      <c r="G95" s="476"/>
      <c r="H95" s="476"/>
      <c r="I95" s="476"/>
      <c r="J95" s="476"/>
      <c r="K95" s="476"/>
      <c r="L95" s="476"/>
      <c r="M95" s="477"/>
      <c r="N95" s="27"/>
      <c r="O95" s="47" t="s">
        <v>4093</v>
      </c>
      <c r="P95" s="47"/>
      <c r="Q95" s="47"/>
      <c r="R95" s="47" t="s">
        <v>4227</v>
      </c>
      <c r="S95" s="47"/>
      <c r="T95" s="47"/>
      <c r="U95" s="47" t="s">
        <v>4094</v>
      </c>
      <c r="V95" s="47"/>
      <c r="W95" s="47"/>
      <c r="X95" s="47"/>
      <c r="Y95" s="47"/>
      <c r="Z95" s="28"/>
      <c r="AA95" s="513" t="str">
        <f>IF(基本設定シート!$B$11=基本設定シート!$C$6,'入力シート（2027年度提出用）'!AH95,IF(基本設定シート!$B$11=基本設定シート!$C$7,'入力シート（2026年度提出用）'!AH95,""))</f>
        <v>未選択</v>
      </c>
      <c r="AB95" s="539"/>
      <c r="AC95" s="539"/>
      <c r="AD95" s="514"/>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513">
        <f t="shared" si="50"/>
        <v>12</v>
      </c>
      <c r="D96" s="514"/>
      <c r="E96" s="475" t="str">
        <f>取組リスト!B14</f>
        <v>次世代自動車の導入（電気自動車、低炭素ディーゼル自動車、ハイブリッド自動車等）</v>
      </c>
      <c r="F96" s="476"/>
      <c r="G96" s="476"/>
      <c r="H96" s="476"/>
      <c r="I96" s="476"/>
      <c r="J96" s="476"/>
      <c r="K96" s="476"/>
      <c r="L96" s="476"/>
      <c r="M96" s="477"/>
      <c r="N96" s="27"/>
      <c r="O96" s="47" t="s">
        <v>4093</v>
      </c>
      <c r="P96" s="47"/>
      <c r="Q96" s="47"/>
      <c r="R96" s="47" t="s">
        <v>4227</v>
      </c>
      <c r="S96" s="47"/>
      <c r="T96" s="47"/>
      <c r="U96" s="47" t="s">
        <v>4094</v>
      </c>
      <c r="V96" s="47"/>
      <c r="W96" s="47"/>
      <c r="X96" s="47"/>
      <c r="Y96" s="47"/>
      <c r="Z96" s="28"/>
      <c r="AA96" s="513" t="str">
        <f>IF(基本設定シート!$B$11=基本設定シート!$C$6,'入力シート（2027年度提出用）'!AH96,IF(基本設定シート!$B$11=基本設定シート!$C$7,'入力シート（2026年度提出用）'!AH96,""))</f>
        <v>未選択</v>
      </c>
      <c r="AB96" s="539"/>
      <c r="AC96" s="539"/>
      <c r="AD96" s="514"/>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513">
        <f t="shared" si="50"/>
        <v>13</v>
      </c>
      <c r="D97" s="514"/>
      <c r="E97" s="475" t="str">
        <f>取組リスト!B15</f>
        <v>事業所内における空調設定温度のルール化</v>
      </c>
      <c r="F97" s="476"/>
      <c r="G97" s="476"/>
      <c r="H97" s="476"/>
      <c r="I97" s="476"/>
      <c r="J97" s="476"/>
      <c r="K97" s="476"/>
      <c r="L97" s="476"/>
      <c r="M97" s="477"/>
      <c r="N97" s="27"/>
      <c r="O97" s="47" t="s">
        <v>4093</v>
      </c>
      <c r="P97" s="47"/>
      <c r="Q97" s="47"/>
      <c r="R97" s="47" t="s">
        <v>4227</v>
      </c>
      <c r="S97" s="47"/>
      <c r="T97" s="47"/>
      <c r="U97" s="47" t="s">
        <v>4094</v>
      </c>
      <c r="V97" s="47"/>
      <c r="W97" s="47"/>
      <c r="X97" s="47"/>
      <c r="Y97" s="47"/>
      <c r="Z97" s="28"/>
      <c r="AA97" s="513" t="str">
        <f>IF(基本設定シート!$B$11=基本設定シート!$C$6,'入力シート（2027年度提出用）'!AH97,IF(基本設定シート!$B$11=基本設定シート!$C$7,'入力シート（2026年度提出用）'!AH97,""))</f>
        <v>未選択</v>
      </c>
      <c r="AB97" s="539"/>
      <c r="AC97" s="539"/>
      <c r="AD97" s="514"/>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513">
        <f t="shared" si="50"/>
        <v>14</v>
      </c>
      <c r="D98" s="514"/>
      <c r="E98" s="475" t="str">
        <f>取組リスト!B16</f>
        <v>事業所内における照明点灯に関するルール化（休憩時間や不使用時の消灯等）</v>
      </c>
      <c r="F98" s="476"/>
      <c r="G98" s="476"/>
      <c r="H98" s="476"/>
      <c r="I98" s="476"/>
      <c r="J98" s="476"/>
      <c r="K98" s="476"/>
      <c r="L98" s="476"/>
      <c r="M98" s="477"/>
      <c r="N98" s="27"/>
      <c r="O98" s="47" t="s">
        <v>4093</v>
      </c>
      <c r="P98" s="47"/>
      <c r="Q98" s="47"/>
      <c r="R98" s="47" t="s">
        <v>4227</v>
      </c>
      <c r="S98" s="47"/>
      <c r="T98" s="47"/>
      <c r="U98" s="47" t="s">
        <v>4094</v>
      </c>
      <c r="V98" s="47"/>
      <c r="W98" s="47"/>
      <c r="X98" s="47"/>
      <c r="Y98" s="47"/>
      <c r="Z98" s="28"/>
      <c r="AA98" s="513" t="str">
        <f>IF(基本設定シート!$B$11=基本設定シート!$C$6,'入力シート（2027年度提出用）'!AH98,IF(基本設定シート!$B$11=基本設定シート!$C$7,'入力シート（2026年度提出用）'!AH98,""))</f>
        <v>未選択</v>
      </c>
      <c r="AB98" s="539"/>
      <c r="AC98" s="539"/>
      <c r="AD98" s="514"/>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513">
        <f t="shared" si="50"/>
        <v>15</v>
      </c>
      <c r="D99" s="514"/>
      <c r="E99" s="475" t="str">
        <f>取組リスト!B17</f>
        <v>省エネルギー設備（LED照明、空調、給湯器、冷蔵庫等）への更新</v>
      </c>
      <c r="F99" s="476"/>
      <c r="G99" s="476"/>
      <c r="H99" s="476"/>
      <c r="I99" s="476"/>
      <c r="J99" s="476"/>
      <c r="K99" s="476"/>
      <c r="L99" s="476"/>
      <c r="M99" s="477"/>
      <c r="N99" s="27"/>
      <c r="O99" s="47" t="s">
        <v>4105</v>
      </c>
      <c r="P99" s="47"/>
      <c r="Q99" s="47"/>
      <c r="R99" s="47" t="s">
        <v>4227</v>
      </c>
      <c r="S99" s="47"/>
      <c r="T99" s="47"/>
      <c r="U99" s="47" t="s">
        <v>4094</v>
      </c>
      <c r="V99" s="47"/>
      <c r="W99" s="47"/>
      <c r="X99" s="47"/>
      <c r="Y99" s="47"/>
      <c r="Z99" s="28"/>
      <c r="AA99" s="513" t="str">
        <f>IF(基本設定シート!$B$11=基本設定シート!$C$6,'入力シート（2027年度提出用）'!AH99,IF(基本設定シート!$B$11=基本設定シート!$C$7,'入力シート（2026年度提出用）'!AH99,""))</f>
        <v>未選択</v>
      </c>
      <c r="AB99" s="539"/>
      <c r="AC99" s="539"/>
      <c r="AD99" s="514"/>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513">
        <f t="shared" si="50"/>
        <v>16</v>
      </c>
      <c r="D100" s="514"/>
      <c r="E100" s="475" t="str">
        <f>取組リスト!B18</f>
        <v>再エネ設備（太陽光発電等）の導入や再エネ電力の調達</v>
      </c>
      <c r="F100" s="476"/>
      <c r="G100" s="476"/>
      <c r="H100" s="476"/>
      <c r="I100" s="476"/>
      <c r="J100" s="476"/>
      <c r="K100" s="476"/>
      <c r="L100" s="476"/>
      <c r="M100" s="477"/>
      <c r="N100" s="27"/>
      <c r="O100" s="47" t="s">
        <v>4093</v>
      </c>
      <c r="P100" s="47"/>
      <c r="Q100" s="47"/>
      <c r="R100" s="47" t="s">
        <v>4227</v>
      </c>
      <c r="S100" s="47"/>
      <c r="T100" s="47"/>
      <c r="U100" s="47" t="s">
        <v>4094</v>
      </c>
      <c r="V100" s="47"/>
      <c r="W100" s="47"/>
      <c r="X100" s="47"/>
      <c r="Y100" s="47"/>
      <c r="Z100" s="28"/>
      <c r="AA100" s="513" t="str">
        <f>IF(基本設定シート!$B$11=基本設定シート!$C$6,'入力シート（2027年度提出用）'!AH100,IF(基本設定シート!$B$11=基本設定シート!$C$7,'入力シート（2026年度提出用）'!AH100,""))</f>
        <v>未選択</v>
      </c>
      <c r="AB100" s="539"/>
      <c r="AC100" s="539"/>
      <c r="AD100" s="514"/>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513">
        <f t="shared" si="50"/>
        <v>17</v>
      </c>
      <c r="D101" s="514"/>
      <c r="E101" s="569" t="str">
        <f>IF('入力シート（2027年度提出用）'!AH101="項目設定なし","（自由記述欄）",'入力シート（2027年度提出用）'!E101)</f>
        <v>（自由記述欄）</v>
      </c>
      <c r="F101" s="570"/>
      <c r="G101" s="570"/>
      <c r="H101" s="570"/>
      <c r="I101" s="570"/>
      <c r="J101" s="570"/>
      <c r="K101" s="570"/>
      <c r="L101" s="570"/>
      <c r="M101" s="571"/>
      <c r="N101" s="27"/>
      <c r="O101" s="47" t="s">
        <v>4093</v>
      </c>
      <c r="P101" s="47"/>
      <c r="Q101" s="47"/>
      <c r="R101" s="47" t="s">
        <v>4227</v>
      </c>
      <c r="S101" s="47"/>
      <c r="T101" s="47"/>
      <c r="U101" s="47"/>
      <c r="V101" s="47"/>
      <c r="W101" s="47"/>
      <c r="X101" s="47"/>
      <c r="Y101" s="47"/>
      <c r="Z101" s="28"/>
      <c r="AA101" s="513" t="str">
        <f>IF(基本設定シート!$B$11=基本設定シート!$C$6,IF('入力シート（2027年度提出用）'!AH101="項目設定なし","-",'入力シート（2027年度提出用）'!AH101),IF(基本設定シート!$B$11=基本設定シート!$C$7,IF('入力シート（2026年度提出用）'!AH101="項目設定なし","-",'入力シート（2026年度提出用）'!AH101),""))</f>
        <v>-</v>
      </c>
      <c r="AB101" s="539"/>
      <c r="AC101" s="539"/>
      <c r="AD101" s="514"/>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513">
        <f t="shared" si="50"/>
        <v>18</v>
      </c>
      <c r="D102" s="514"/>
      <c r="E102" s="569" t="str">
        <f>IF('入力シート（2027年度提出用）'!AH102="項目設定なし","（自由記述欄）",'入力シート（2027年度提出用）'!E102)</f>
        <v>（自由記述欄）</v>
      </c>
      <c r="F102" s="570"/>
      <c r="G102" s="570"/>
      <c r="H102" s="570"/>
      <c r="I102" s="570"/>
      <c r="J102" s="570"/>
      <c r="K102" s="570"/>
      <c r="L102" s="570"/>
      <c r="M102" s="571"/>
      <c r="N102" s="27"/>
      <c r="O102" s="47" t="s">
        <v>4093</v>
      </c>
      <c r="P102" s="47"/>
      <c r="Q102" s="47"/>
      <c r="R102" s="47" t="s">
        <v>4227</v>
      </c>
      <c r="S102" s="47"/>
      <c r="T102" s="47"/>
      <c r="U102" s="47"/>
      <c r="V102" s="47"/>
      <c r="W102" s="47"/>
      <c r="X102" s="47"/>
      <c r="Y102" s="47"/>
      <c r="Z102" s="28"/>
      <c r="AA102" s="513" t="str">
        <f>IF(基本設定シート!$B$11=基本設定シート!$C$6,IF('入力シート（2027年度提出用）'!AH102="項目設定なし","-",'入力シート（2027年度提出用）'!AH102),IF(基本設定シート!$B$11=基本設定シート!$C$7,IF('入力シート（2026年度提出用）'!AH102="項目設定なし","-",'入力シート（2026年度提出用）'!AH102),""))</f>
        <v>-</v>
      </c>
      <c r="AB102" s="539"/>
      <c r="AC102" s="539"/>
      <c r="AD102" s="514"/>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513">
        <f t="shared" si="50"/>
        <v>19</v>
      </c>
      <c r="D103" s="514"/>
      <c r="E103" s="569" t="str">
        <f>IF('入力シート（2027年度提出用）'!AH103="項目設定なし","（自由記述欄）",'入力シート（2027年度提出用）'!E103)</f>
        <v>（自由記述欄）</v>
      </c>
      <c r="F103" s="570"/>
      <c r="G103" s="570"/>
      <c r="H103" s="570"/>
      <c r="I103" s="570"/>
      <c r="J103" s="570"/>
      <c r="K103" s="570"/>
      <c r="L103" s="570"/>
      <c r="M103" s="571"/>
      <c r="N103" s="27"/>
      <c r="O103" s="47" t="s">
        <v>4093</v>
      </c>
      <c r="P103" s="47"/>
      <c r="Q103" s="47"/>
      <c r="R103" s="47" t="s">
        <v>4227</v>
      </c>
      <c r="S103" s="47"/>
      <c r="T103" s="47"/>
      <c r="U103" s="47"/>
      <c r="V103" s="47"/>
      <c r="W103" s="47"/>
      <c r="X103" s="47"/>
      <c r="Y103" s="47"/>
      <c r="Z103" s="28"/>
      <c r="AA103" s="513" t="str">
        <f>IF(基本設定シート!$B$11=基本設定シート!$C$6,IF('入力シート（2027年度提出用）'!AH103="項目設定なし","-",'入力シート（2027年度提出用）'!AH103),IF(基本設定シート!$B$11=基本設定シート!$C$7,IF('入力シート（2026年度提出用）'!AH103="項目設定なし","-",'入力シート（2026年度提出用）'!AH103),""))</f>
        <v>-</v>
      </c>
      <c r="AB103" s="539"/>
      <c r="AC103" s="539"/>
      <c r="AD103" s="514"/>
      <c r="AE103" s="13"/>
      <c r="AF103" s="20"/>
      <c r="AG103" s="7"/>
      <c r="AH103" s="69" t="str">
        <f t="shared" si="52"/>
        <v>項目設定なし</v>
      </c>
      <c r="AI103" s="70"/>
      <c r="AJ103" s="26"/>
      <c r="AK103" s="20"/>
      <c r="AL103" s="42" t="str">
        <f>基本設定シート!$B$11&amp;"年度"</f>
        <v>2026年度</v>
      </c>
      <c r="AM103" s="42">
        <f>IF(基本設定シート!$B$11=基本設定シート!$C$6,COUNTIFS('入力シート（2027年度提出用）'!$AG$101:$AG$105,1,'入力シート（2027年度提出用）'!$AH$101:$AH$105,"&lt;&gt;項目設定なし"),IF(基本設定シート!$B$11=基本設定シート!$C$7,COUNTIFS($AG$101:$AG$105,1,$AH$101:$AH$105,"&lt;&gt;項目設定なし"),""))</f>
        <v>0</v>
      </c>
      <c r="AN103" s="42">
        <f>IF(基本設定シート!$B$11=基本設定シート!$C$6,COUNTIFS('入力シート（2027年度提出用）'!$AG$101:$AG$105,2,'入力シート（2027年度提出用）'!$AH$101:$AH$105,"&lt;&gt;項目設定なし"),IF(基本設定シート!$B$11=基本設定シート!$C$7,COUNTIFS($AG$101:$AG$105,2,$AH$101:$AH$105,"&lt;&gt;項目設定なし"),""))</f>
        <v>0</v>
      </c>
      <c r="AO103" s="42" t="s">
        <v>27</v>
      </c>
      <c r="AP103" s="42" t="s">
        <v>27</v>
      </c>
      <c r="AQ103" s="42">
        <f>IF(基本設定シート!$B$11=基本設定シート!$C$6,COUNTIF('入力シート（2027年度提出用）'!$AH$101:$AH$105,"&lt;&gt;項目設定なし"),IF(基本設定シート!$B$11=基本設定シート!$C$7,COUNTIF($AH$101:$AH$105,"&lt;&gt;項目設定なし"),""))</f>
        <v>0</v>
      </c>
      <c r="AR103" s="72">
        <f>IFERROR(IF(AQ103=0,0,AM103/AQ103),"")</f>
        <v>0</v>
      </c>
      <c r="AS103" s="72">
        <f>IFERROR(IF(AQ103=0,0,(AM103+AN103)/AQ103),"")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513">
        <f t="shared" si="50"/>
        <v>20</v>
      </c>
      <c r="D104" s="514"/>
      <c r="E104" s="569" t="str">
        <f>IF('入力シート（2027年度提出用）'!AH104="項目設定なし","（自由記述欄）",'入力シート（2027年度提出用）'!E104)</f>
        <v>（自由記述欄）</v>
      </c>
      <c r="F104" s="570"/>
      <c r="G104" s="570"/>
      <c r="H104" s="570"/>
      <c r="I104" s="570"/>
      <c r="J104" s="570"/>
      <c r="K104" s="570"/>
      <c r="L104" s="570"/>
      <c r="M104" s="571"/>
      <c r="N104" s="27"/>
      <c r="O104" s="47" t="s">
        <v>4093</v>
      </c>
      <c r="P104" s="47"/>
      <c r="Q104" s="47"/>
      <c r="R104" s="47" t="s">
        <v>4227</v>
      </c>
      <c r="S104" s="47"/>
      <c r="T104" s="47"/>
      <c r="U104" s="47"/>
      <c r="V104" s="47"/>
      <c r="W104" s="47"/>
      <c r="X104" s="47"/>
      <c r="Y104" s="47"/>
      <c r="Z104" s="28"/>
      <c r="AA104" s="513" t="str">
        <f>IF(基本設定シート!$B$11=基本設定シート!$C$6,IF('入力シート（2027年度提出用）'!AH104="項目設定なし","-",'入力シート（2027年度提出用）'!AH104),IF(基本設定シート!$B$11=基本設定シート!$C$7,IF('入力シート（2026年度提出用）'!AH104="項目設定なし","-",'入力シート（2026年度提出用）'!AH104),""))</f>
        <v>-</v>
      </c>
      <c r="AB104" s="539"/>
      <c r="AC104" s="539"/>
      <c r="AD104" s="514"/>
      <c r="AE104" s="13"/>
      <c r="AF104" s="20"/>
      <c r="AG104" s="7"/>
      <c r="AH104" s="69" t="str">
        <f t="shared" si="52"/>
        <v>項目設定なし</v>
      </c>
      <c r="AI104" s="70"/>
      <c r="AJ104" s="26"/>
      <c r="AK104" s="20"/>
      <c r="AL104" s="42" t="str">
        <f>IF(基本設定シート!$B$11=基本設定シート!$C$8,"",基本設定シート!$B$11+1&amp;"年度")</f>
        <v>2027年度</v>
      </c>
      <c r="AM104" s="42">
        <f>IF(基本設定シート!$B$11=基本設定シート!$C$6,COUNTIFS($AG$101:$AG$105,1,$AH$101:$AH$105,"&lt;&gt;項目設定なし"),"")</f>
        <v>0</v>
      </c>
      <c r="AN104" s="42">
        <f>IF(基本設定シート!$B$11=基本設定シート!$C$6,COUNTIFS($AG$101:$AG$105,2,$AH$101:$AH$105,"&lt;&gt;項目設定なし"),"")</f>
        <v>0</v>
      </c>
      <c r="AO104" s="42" t="s">
        <v>4052</v>
      </c>
      <c r="AP104" s="42" t="s">
        <v>4052</v>
      </c>
      <c r="AQ104" s="42">
        <f>IF(基本設定シート!$B$11=基本設定シート!$C$6,COUNTIF($AH$101:$AH$105,"&lt;&gt;項目設定なし"),"")</f>
        <v>0</v>
      </c>
      <c r="AR104" s="72">
        <f>IFERROR(IF(AQ104=0,0,AM104/AQ104),"")</f>
        <v>0</v>
      </c>
      <c r="AS104" s="72">
        <f>IFERROR(IF(AQ104=0,0,(AM104+AN104)/AQ104),"")</f>
        <v>0</v>
      </c>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513">
        <f t="shared" si="50"/>
        <v>21</v>
      </c>
      <c r="D105" s="514"/>
      <c r="E105" s="569" t="str">
        <f>IF('入力シート（2027年度提出用）'!AH105="項目設定なし","（自由記述欄）",'入力シート（2027年度提出用）'!E105)</f>
        <v>（自由記述欄）</v>
      </c>
      <c r="F105" s="570"/>
      <c r="G105" s="570"/>
      <c r="H105" s="570"/>
      <c r="I105" s="570"/>
      <c r="J105" s="570"/>
      <c r="K105" s="570"/>
      <c r="L105" s="570"/>
      <c r="M105" s="571"/>
      <c r="N105" s="27"/>
      <c r="O105" s="47" t="s">
        <v>4093</v>
      </c>
      <c r="P105" s="47"/>
      <c r="Q105" s="47"/>
      <c r="R105" s="47" t="s">
        <v>4227</v>
      </c>
      <c r="S105" s="47"/>
      <c r="T105" s="47"/>
      <c r="U105" s="47"/>
      <c r="V105" s="47"/>
      <c r="W105" s="47"/>
      <c r="X105" s="47"/>
      <c r="Y105" s="47"/>
      <c r="Z105" s="28"/>
      <c r="AA105" s="513" t="str">
        <f>IF(基本設定シート!$B$11=基本設定シート!$C$6,IF('入力シート（2027年度提出用）'!AH105="項目設定なし","-",'入力シート（2027年度提出用）'!AH105),IF(基本設定シート!$B$11=基本設定シート!$C$7,IF('入力シート（2026年度提出用）'!AH105="項目設定なし","-",'入力シート（2026年度提出用）'!AH105),""))</f>
        <v>-</v>
      </c>
      <c r="AB105" s="539"/>
      <c r="AC105" s="539"/>
      <c r="AD105" s="514"/>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c r="AN105" s="42"/>
      <c r="AO105" s="42"/>
      <c r="AP105" s="42"/>
      <c r="AQ105" s="42"/>
      <c r="AR105" s="42"/>
      <c r="AS105" s="24"/>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ver260401-2</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E5+N0Cz9xLkymHDCJDJDsZhkh64g4HAURBMIWOmOK9xQyuaiau0UENRCOAGGf7aFfjfD9sEBRGSB/LrtK0BWRA==" saltValue="B9oKgRqU7rf/RL4RaSpawA==" spinCount="100000" sheet="1" objects="1" scenarios="1" selectLockedCells="1"/>
  <mergeCells count="288">
    <mergeCell ref="C99:D99"/>
    <mergeCell ref="E89:M89"/>
    <mergeCell ref="AA97:AD97"/>
    <mergeCell ref="E98:M98"/>
    <mergeCell ref="AA98:AD98"/>
    <mergeCell ref="E99:M99"/>
    <mergeCell ref="AA99:AD99"/>
    <mergeCell ref="C97:D97"/>
    <mergeCell ref="C67:H67"/>
    <mergeCell ref="E95:M95"/>
    <mergeCell ref="E88:M88"/>
    <mergeCell ref="E84:M84"/>
    <mergeCell ref="E97:M97"/>
    <mergeCell ref="E91:M91"/>
    <mergeCell ref="C84:D84"/>
    <mergeCell ref="C85:D85"/>
    <mergeCell ref="C86:D86"/>
    <mergeCell ref="C87:D87"/>
    <mergeCell ref="C88:D88"/>
    <mergeCell ref="C89:D89"/>
    <mergeCell ref="AA94:AD94"/>
    <mergeCell ref="AA95:AD95"/>
    <mergeCell ref="AA96:AD96"/>
    <mergeCell ref="AA88:AD88"/>
    <mergeCell ref="H48:L48"/>
    <mergeCell ref="C90:D90"/>
    <mergeCell ref="C91:D91"/>
    <mergeCell ref="C92:D92"/>
    <mergeCell ref="C93:D93"/>
    <mergeCell ref="C94:D94"/>
    <mergeCell ref="C95:D95"/>
    <mergeCell ref="E94:M94"/>
    <mergeCell ref="C98:D98"/>
    <mergeCell ref="E96:M96"/>
    <mergeCell ref="B65:M65"/>
    <mergeCell ref="B50:G50"/>
    <mergeCell ref="H39:L39"/>
    <mergeCell ref="H40:L40"/>
    <mergeCell ref="H41:L41"/>
    <mergeCell ref="H42:L42"/>
    <mergeCell ref="H43:L43"/>
    <mergeCell ref="H44:L44"/>
    <mergeCell ref="H45:L45"/>
    <mergeCell ref="H46:L46"/>
    <mergeCell ref="H47:L47"/>
    <mergeCell ref="C101:D101"/>
    <mergeCell ref="C102:D102"/>
    <mergeCell ref="C103:D103"/>
    <mergeCell ref="C104:D104"/>
    <mergeCell ref="C105:D105"/>
    <mergeCell ref="AA100:AD100"/>
    <mergeCell ref="C96:D96"/>
    <mergeCell ref="AA91:AD91"/>
    <mergeCell ref="E92:M92"/>
    <mergeCell ref="AA92:AD92"/>
    <mergeCell ref="E93:M93"/>
    <mergeCell ref="AA93:AD93"/>
    <mergeCell ref="E105:M105"/>
    <mergeCell ref="AA105:AD105"/>
    <mergeCell ref="E102:M102"/>
    <mergeCell ref="AA102:AD102"/>
    <mergeCell ref="E103:M103"/>
    <mergeCell ref="AA103:AD103"/>
    <mergeCell ref="E104:M104"/>
    <mergeCell ref="AA104:AD104"/>
    <mergeCell ref="E101:M101"/>
    <mergeCell ref="AA101:AD101"/>
    <mergeCell ref="C100:D100"/>
    <mergeCell ref="E100:M100"/>
    <mergeCell ref="AA89:AD89"/>
    <mergeCell ref="E90:M90"/>
    <mergeCell ref="AA90:AD90"/>
    <mergeCell ref="BD86:BE86"/>
    <mergeCell ref="E87:M87"/>
    <mergeCell ref="AA87:AD87"/>
    <mergeCell ref="AV87:AW87"/>
    <mergeCell ref="AX87:AY87"/>
    <mergeCell ref="AZ87:BA87"/>
    <mergeCell ref="BB87:BC87"/>
    <mergeCell ref="BD87:BE87"/>
    <mergeCell ref="E86:M86"/>
    <mergeCell ref="AA86:AD86"/>
    <mergeCell ref="AV86:AW86"/>
    <mergeCell ref="AX86:AY86"/>
    <mergeCell ref="AZ86:BA86"/>
    <mergeCell ref="BB86:BC86"/>
    <mergeCell ref="N84:Z84"/>
    <mergeCell ref="AA84:AD84"/>
    <mergeCell ref="AV84:AW84"/>
    <mergeCell ref="AX84:AY84"/>
    <mergeCell ref="AZ84:BA84"/>
    <mergeCell ref="BB84:BC84"/>
    <mergeCell ref="BD84:BE84"/>
    <mergeCell ref="E85:M85"/>
    <mergeCell ref="AA85:AD85"/>
    <mergeCell ref="AV85:AW85"/>
    <mergeCell ref="AX85:AY85"/>
    <mergeCell ref="AZ85:BA85"/>
    <mergeCell ref="BB85:BC85"/>
    <mergeCell ref="BD85:BE85"/>
    <mergeCell ref="AI78:AK78"/>
    <mergeCell ref="AL78:AM78"/>
    <mergeCell ref="AV78:AW78"/>
    <mergeCell ref="AX78:AY78"/>
    <mergeCell ref="AZ78:BA78"/>
    <mergeCell ref="BB78:BC78"/>
    <mergeCell ref="BD78:BE78"/>
    <mergeCell ref="BD79:BE79"/>
    <mergeCell ref="AV80:AW80"/>
    <mergeCell ref="AX80:AY80"/>
    <mergeCell ref="AZ80:BA80"/>
    <mergeCell ref="BB80:BC80"/>
    <mergeCell ref="BD80:BE80"/>
    <mergeCell ref="AI79:AK79"/>
    <mergeCell ref="AL79:AM79"/>
    <mergeCell ref="AV79:AW79"/>
    <mergeCell ref="AX79:AY79"/>
    <mergeCell ref="AZ79:BA79"/>
    <mergeCell ref="BB79:BC79"/>
    <mergeCell ref="AI76:AK76"/>
    <mergeCell ref="AL76:AM76"/>
    <mergeCell ref="AI77:AK77"/>
    <mergeCell ref="AL77:AM77"/>
    <mergeCell ref="AV77:AW77"/>
    <mergeCell ref="AX77:AY77"/>
    <mergeCell ref="AI73:AK73"/>
    <mergeCell ref="AL73:AM73"/>
    <mergeCell ref="AI74:AK74"/>
    <mergeCell ref="AL74:AM74"/>
    <mergeCell ref="AI75:AK75"/>
    <mergeCell ref="AL75:AM75"/>
    <mergeCell ref="AI70:AK70"/>
    <mergeCell ref="AL70:AM70"/>
    <mergeCell ref="AI71:AK71"/>
    <mergeCell ref="AL71:AM71"/>
    <mergeCell ref="AI72:AK72"/>
    <mergeCell ref="AL72:AM72"/>
    <mergeCell ref="U61:V61"/>
    <mergeCell ref="Z61:AA61"/>
    <mergeCell ref="AB61:AC61"/>
    <mergeCell ref="N65:T65"/>
    <mergeCell ref="U65:AD65"/>
    <mergeCell ref="B59:G59"/>
    <mergeCell ref="C61:I61"/>
    <mergeCell ref="J61:L61"/>
    <mergeCell ref="M61:N61"/>
    <mergeCell ref="O61:P61"/>
    <mergeCell ref="S61:T61"/>
    <mergeCell ref="T52:U52"/>
    <mergeCell ref="E53:I53"/>
    <mergeCell ref="J53:K53"/>
    <mergeCell ref="O53:S53"/>
    <mergeCell ref="T53:U53"/>
    <mergeCell ref="B55:E55"/>
    <mergeCell ref="F55:V55"/>
    <mergeCell ref="E52:I52"/>
    <mergeCell ref="J52:K52"/>
    <mergeCell ref="N52:N53"/>
    <mergeCell ref="O52:S52"/>
    <mergeCell ref="B30:C35"/>
    <mergeCell ref="B52:D53"/>
    <mergeCell ref="AP30:AQ30"/>
    <mergeCell ref="AP31:AQ31"/>
    <mergeCell ref="AP32:AQ32"/>
    <mergeCell ref="AP33:AQ33"/>
    <mergeCell ref="AP34:AQ34"/>
    <mergeCell ref="B37:G37"/>
    <mergeCell ref="B39:E39"/>
    <mergeCell ref="F39:G39"/>
    <mergeCell ref="E30:I30"/>
    <mergeCell ref="E31:I31"/>
    <mergeCell ref="E32:I32"/>
    <mergeCell ref="E33:I33"/>
    <mergeCell ref="E34:I34"/>
    <mergeCell ref="D35:W35"/>
    <mergeCell ref="B40:E42"/>
    <mergeCell ref="B43:E45"/>
    <mergeCell ref="B46:E47"/>
    <mergeCell ref="F40:G42"/>
    <mergeCell ref="F43:G45"/>
    <mergeCell ref="F46:G47"/>
    <mergeCell ref="B48:E48"/>
    <mergeCell ref="F48:G48"/>
    <mergeCell ref="E26:I26"/>
    <mergeCell ref="B20:I22"/>
    <mergeCell ref="Y14:AD14"/>
    <mergeCell ref="B18:G18"/>
    <mergeCell ref="AA18:AD18"/>
    <mergeCell ref="AO22:AQ22"/>
    <mergeCell ref="W13:X13"/>
    <mergeCell ref="Y13:AD13"/>
    <mergeCell ref="W14:X14"/>
    <mergeCell ref="B23:C29"/>
    <mergeCell ref="AP29:AQ29"/>
    <mergeCell ref="E23:I23"/>
    <mergeCell ref="AP23:AQ23"/>
    <mergeCell ref="E24:I24"/>
    <mergeCell ref="AP24:AQ24"/>
    <mergeCell ref="E27:I27"/>
    <mergeCell ref="AP27:AQ27"/>
    <mergeCell ref="E25:I25"/>
    <mergeCell ref="AP25:AQ25"/>
    <mergeCell ref="E28:I28"/>
    <mergeCell ref="AP28:AQ28"/>
    <mergeCell ref="D29:W29"/>
    <mergeCell ref="BP18:BR18"/>
    <mergeCell ref="AI22:AJ22"/>
    <mergeCell ref="AK22:AL22"/>
    <mergeCell ref="AM22:AN22"/>
    <mergeCell ref="AP26:AQ26"/>
    <mergeCell ref="BS20:CF20"/>
    <mergeCell ref="J20:W20"/>
    <mergeCell ref="X20:Y22"/>
    <mergeCell ref="J21:J22"/>
    <mergeCell ref="K21:S21"/>
    <mergeCell ref="T21:V21"/>
    <mergeCell ref="W21:W22"/>
    <mergeCell ref="BT21:CB21"/>
    <mergeCell ref="CC21:CE21"/>
    <mergeCell ref="CF21:CF22"/>
    <mergeCell ref="BS21:BS22"/>
    <mergeCell ref="BK22:BL22"/>
    <mergeCell ref="BI22:BJ22"/>
    <mergeCell ref="BP20:BR22"/>
    <mergeCell ref="BP23:BP29"/>
    <mergeCell ref="F11:L11"/>
    <mergeCell ref="N10:O10"/>
    <mergeCell ref="P11:U11"/>
    <mergeCell ref="W10:X10"/>
    <mergeCell ref="Y11:AD11"/>
    <mergeCell ref="B10:E10"/>
    <mergeCell ref="F9:G9"/>
    <mergeCell ref="N11:O11"/>
    <mergeCell ref="P9:Q9"/>
    <mergeCell ref="R9:S9"/>
    <mergeCell ref="T9:U9"/>
    <mergeCell ref="W11:X11"/>
    <mergeCell ref="Y9:Z9"/>
    <mergeCell ref="AA9:AB9"/>
    <mergeCell ref="AC9:AD9"/>
    <mergeCell ref="P12:U12"/>
    <mergeCell ref="C4:E4"/>
    <mergeCell ref="AJ4:AK4"/>
    <mergeCell ref="B6:E6"/>
    <mergeCell ref="N6:O6"/>
    <mergeCell ref="W6:X6"/>
    <mergeCell ref="B8:E8"/>
    <mergeCell ref="F8:L8"/>
    <mergeCell ref="N8:O8"/>
    <mergeCell ref="P8:U8"/>
    <mergeCell ref="W8:X8"/>
    <mergeCell ref="Y8:AD8"/>
    <mergeCell ref="AI8:AJ8"/>
    <mergeCell ref="AK8:AO8"/>
    <mergeCell ref="B9:E9"/>
    <mergeCell ref="F10:L10"/>
    <mergeCell ref="N9:O9"/>
    <mergeCell ref="W9:X9"/>
    <mergeCell ref="AI9:AJ9"/>
    <mergeCell ref="AK9:AO9"/>
    <mergeCell ref="N12:O12"/>
    <mergeCell ref="W12:X12"/>
    <mergeCell ref="Y12:AD12"/>
    <mergeCell ref="B11:E11"/>
    <mergeCell ref="BP30:BP35"/>
    <mergeCell ref="AV88:AW88"/>
    <mergeCell ref="AX88:AY88"/>
    <mergeCell ref="AZ88:BA88"/>
    <mergeCell ref="BB88:BC88"/>
    <mergeCell ref="BD88:BE88"/>
    <mergeCell ref="AZ77:BA77"/>
    <mergeCell ref="BB77:BC77"/>
    <mergeCell ref="BD77:BE77"/>
    <mergeCell ref="AV81:AW81"/>
    <mergeCell ref="AX81:AY81"/>
    <mergeCell ref="AZ81:BA81"/>
    <mergeCell ref="BB81:BC81"/>
    <mergeCell ref="BD81:BE81"/>
    <mergeCell ref="AV82:AW82"/>
    <mergeCell ref="AX82:AY82"/>
    <mergeCell ref="AZ82:BA82"/>
    <mergeCell ref="BB82:BC82"/>
    <mergeCell ref="BD82:BE82"/>
    <mergeCell ref="AV83:AW83"/>
    <mergeCell ref="AX83:AY83"/>
    <mergeCell ref="AZ83:BA83"/>
    <mergeCell ref="BB83:BC83"/>
    <mergeCell ref="BD83:BE83"/>
  </mergeCells>
  <phoneticPr fontId="4"/>
  <conditionalFormatting sqref="D28:I28">
    <cfRule type="expression" dxfId="73" priority="37">
      <formula>$AG$28="選択あり"</formula>
    </cfRule>
  </conditionalFormatting>
  <conditionalFormatting sqref="D34:I34">
    <cfRule type="expression" dxfId="72" priority="8">
      <formula>$AG$34="選択あり"</formula>
    </cfRule>
  </conditionalFormatting>
  <conditionalFormatting sqref="E101:M105">
    <cfRule type="expression" dxfId="71" priority="34">
      <formula>AH101&lt;&gt;"項目設定なし"</formula>
    </cfRule>
    <cfRule type="expression" dxfId="70" priority="44">
      <formula>AND($E101&lt;&gt;"（自由記述欄）",$E101&lt;&gt;"")</formula>
    </cfRule>
  </conditionalFormatting>
  <conditionalFormatting sqref="F8:L8 P8:U8 Y8:AD8 F10:L11 P10:U11 Y10:AD14 K23:V28 BT23:CE28 K30:V34">
    <cfRule type="expression" dxfId="69" priority="41">
      <formula>F8&lt;&gt;""</formula>
    </cfRule>
  </conditionalFormatting>
  <conditionalFormatting sqref="F55:V55">
    <cfRule type="expression" dxfId="68" priority="22">
      <formula>COUNTIF($F$55,"*記入例*")</formula>
    </cfRule>
    <cfRule type="expression" dxfId="67" priority="29">
      <formula>$F$55&lt;&gt;""</formula>
    </cfRule>
  </conditionalFormatting>
  <conditionalFormatting sqref="H4">
    <cfRule type="expression" dxfId="66" priority="43">
      <formula>$H$4&lt;&gt;""</formula>
    </cfRule>
  </conditionalFormatting>
  <conditionalFormatting sqref="H9:J9">
    <cfRule type="expression" dxfId="65" priority="14">
      <formula>H9&lt;&gt;""</formula>
    </cfRule>
  </conditionalFormatting>
  <conditionalFormatting sqref="H40:M42">
    <cfRule type="expression" dxfId="64" priority="3">
      <formula>$F$40=""</formula>
    </cfRule>
  </conditionalFormatting>
  <conditionalFormatting sqref="H43:M45">
    <cfRule type="expression" dxfId="63" priority="2">
      <formula>$F$43=""</formula>
    </cfRule>
  </conditionalFormatting>
  <conditionalFormatting sqref="H46:M47">
    <cfRule type="expression" dxfId="62" priority="1">
      <formula>$F$46=""</formula>
    </cfRule>
  </conditionalFormatting>
  <conditionalFormatting sqref="J4">
    <cfRule type="expression" dxfId="61" priority="42">
      <formula>$J$4&lt;&gt;""</formula>
    </cfRule>
  </conditionalFormatting>
  <conditionalFormatting sqref="M40:M47 F40:G47">
    <cfRule type="expression" dxfId="60" priority="4">
      <formula>F40&lt;&gt;""</formula>
    </cfRule>
  </conditionalFormatting>
  <conditionalFormatting sqref="M61:N61">
    <cfRule type="expression" dxfId="59" priority="35">
      <formula>$M$61&lt;&gt;""</formula>
    </cfRule>
  </conditionalFormatting>
  <conditionalFormatting sqref="O85:O105">
    <cfRule type="expression" dxfId="58" priority="28">
      <formula>$AG85=1</formula>
    </cfRule>
  </conditionalFormatting>
  <conditionalFormatting sqref="P12">
    <cfRule type="expression" dxfId="57" priority="39">
      <formula>P12&lt;&gt;""</formula>
    </cfRule>
  </conditionalFormatting>
  <conditionalFormatting sqref="P9:Q9">
    <cfRule type="expression" dxfId="56" priority="13">
      <formula>$AG$9=1</formula>
    </cfRule>
  </conditionalFormatting>
  <conditionalFormatting sqref="R85:R105">
    <cfRule type="expression" dxfId="55" priority="27">
      <formula>$AG85=2</formula>
    </cfRule>
  </conditionalFormatting>
  <conditionalFormatting sqref="R9:S9">
    <cfRule type="expression" dxfId="54" priority="12">
      <formula>$AG$9=2</formula>
    </cfRule>
  </conditionalFormatting>
  <conditionalFormatting sqref="T52:T53">
    <cfRule type="expression" dxfId="53" priority="30">
      <formula>#REF!&lt;&gt;""</formula>
    </cfRule>
  </conditionalFormatting>
  <conditionalFormatting sqref="T53:V53">
    <cfRule type="expression" dxfId="52" priority="20">
      <formula>$T$52&lt;0</formula>
    </cfRule>
  </conditionalFormatting>
  <conditionalFormatting sqref="U85:U105">
    <cfRule type="expression" dxfId="51" priority="26">
      <formula>$AG85=3</formula>
    </cfRule>
  </conditionalFormatting>
  <conditionalFormatting sqref="V52">
    <cfRule type="expression" dxfId="50" priority="21">
      <formula>$T$52&lt;0</formula>
    </cfRule>
  </conditionalFormatting>
  <conditionalFormatting sqref="X85:X105">
    <cfRule type="expression" dxfId="49" priority="25">
      <formula>$AG85=4</formula>
    </cfRule>
  </conditionalFormatting>
  <conditionalFormatting sqref="X28:Y28">
    <cfRule type="expression" dxfId="48" priority="6">
      <formula>$AO$28=""</formula>
    </cfRule>
  </conditionalFormatting>
  <conditionalFormatting sqref="X34:Y34">
    <cfRule type="expression" dxfId="47" priority="5">
      <formula>$AO$34=""</formula>
    </cfRule>
  </conditionalFormatting>
  <conditionalFormatting sqref="Y9:Z9">
    <cfRule type="expression" dxfId="46" priority="11">
      <formula>$AH$9=1</formula>
    </cfRule>
  </conditionalFormatting>
  <conditionalFormatting sqref="AA9:AB9">
    <cfRule type="expression" dxfId="45" priority="10">
      <formula>$AH$9=2</formula>
    </cfRule>
  </conditionalFormatting>
  <conditionalFormatting sqref="AC9:AD9">
    <cfRule type="expression" dxfId="44" priority="9">
      <formula>$AH$9=3</formula>
    </cfRule>
  </conditionalFormatting>
  <conditionalFormatting sqref="BT30:CE34">
    <cfRule type="expression" dxfId="43" priority="7">
      <formula>BT30&lt;&gt;""</formula>
    </cfRule>
  </conditionalFormatting>
  <dataValidations count="7">
    <dataValidation type="whole" errorStyle="warning" imeMode="halfAlpha" allowBlank="1" showInputMessage="1" showErrorMessage="1" error="4～8の数値（整数）を入力してください。" sqref="H4" xr:uid="{9881A669-E118-44BD-856B-5A75CBB2CE61}">
      <formula1>4</formula1>
      <formula2>8</formula2>
    </dataValidation>
    <dataValidation type="whole" errorStyle="warning" imeMode="halfAlpha" allowBlank="1" showInputMessage="1" showErrorMessage="1" error="入力値に誤りがあります。" sqref="J4" xr:uid="{8D4FCBB0-4B56-4A36-92AC-6B79DB82226C}">
      <formula1>1</formula1>
      <formula2>IF(OR(H4=2,H4=4,H4=6,H4=9,H4=11),30,31)</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A3BA2312-0331-4CC1-945F-D40270BF00AE}">
      <formula1>AND(M61&lt;=100,M61&gt;=0)</formula1>
    </dataValidation>
    <dataValidation type="decimal" imeMode="halfAlpha" allowBlank="1" showInputMessage="1" showErrorMessage="1" sqref="BT23:CE28 K23:V28 BT30:CE34" xr:uid="{A8F97624-AF32-4411-BE6A-F198775E0B58}">
      <formula1>0</formula1>
      <formula2>999999999</formula2>
    </dataValidation>
    <dataValidation imeMode="hiragana" allowBlank="1" showInputMessage="1" showErrorMessage="1" sqref="F55:V55 Y11:AD12 F8:L8 F10:L11 P8:U8 P11:U11 Y8:AD8 E101:M105" xr:uid="{AF44CC65-DD05-4E56-9D69-EC540A7A8F87}"/>
    <dataValidation imeMode="halfAlpha" allowBlank="1" showInputMessage="1" showErrorMessage="1" sqref="H9 J9 Q10 S10 Z10 AB10 Y13:AD14" xr:uid="{62CEF24E-C324-480C-B06F-0846B0F9619D}"/>
    <dataValidation type="list" allowBlank="1" showInputMessage="1" showErrorMessage="1" sqref="C67:H67" xr:uid="{F4D86138-C9A1-45F5-A922-117EBBC23A5E}">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30"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1" r:id="rId4" name="Option Button 3">
              <controlPr defaultSize="0" autoFill="0" autoLine="0" autoPict="0">
                <anchor moveWithCells="1">
                  <from>
                    <xdr:col>13</xdr:col>
                    <xdr:colOff>371475</xdr:colOff>
                    <xdr:row>84</xdr:row>
                    <xdr:rowOff>66675</xdr:rowOff>
                  </from>
                  <to>
                    <xdr:col>15</xdr:col>
                    <xdr:colOff>285750</xdr:colOff>
                    <xdr:row>84</xdr:row>
                    <xdr:rowOff>285750</xdr:rowOff>
                  </to>
                </anchor>
              </controlPr>
            </control>
          </mc:Choice>
        </mc:AlternateContent>
        <mc:AlternateContent xmlns:mc="http://schemas.openxmlformats.org/markup-compatibility/2006">
          <mc:Choice Requires="x14">
            <control shapeId="22532" r:id="rId5" name="Option Button 4">
              <controlPr defaultSize="0" autoFill="0" autoLine="0" autoPict="0">
                <anchor moveWithCells="1">
                  <from>
                    <xdr:col>16</xdr:col>
                    <xdr:colOff>371475</xdr:colOff>
                    <xdr:row>84</xdr:row>
                    <xdr:rowOff>66675</xdr:rowOff>
                  </from>
                  <to>
                    <xdr:col>18</xdr:col>
                    <xdr:colOff>600075</xdr:colOff>
                    <xdr:row>84</xdr:row>
                    <xdr:rowOff>285750</xdr:rowOff>
                  </to>
                </anchor>
              </controlPr>
            </control>
          </mc:Choice>
        </mc:AlternateContent>
        <mc:AlternateContent xmlns:mc="http://schemas.openxmlformats.org/markup-compatibility/2006">
          <mc:Choice Requires="x14">
            <control shapeId="22533" r:id="rId6" name="Option Button 5">
              <controlPr defaultSize="0" autoFill="0" autoLine="0" autoPict="0">
                <anchor moveWithCells="1">
                  <from>
                    <xdr:col>19</xdr:col>
                    <xdr:colOff>381000</xdr:colOff>
                    <xdr:row>84</xdr:row>
                    <xdr:rowOff>66675</xdr:rowOff>
                  </from>
                  <to>
                    <xdr:col>21</xdr:col>
                    <xdr:colOff>285750</xdr:colOff>
                    <xdr:row>84</xdr:row>
                    <xdr:rowOff>285750</xdr:rowOff>
                  </to>
                </anchor>
              </controlPr>
            </control>
          </mc:Choice>
        </mc:AlternateContent>
        <mc:AlternateContent xmlns:mc="http://schemas.openxmlformats.org/markup-compatibility/2006">
          <mc:Choice Requires="x14">
            <control shapeId="22534" r:id="rId7" name="Option Button 6">
              <controlPr defaultSize="0" autoFill="0" autoLine="0" autoPict="0">
                <anchor moveWithCells="1">
                  <from>
                    <xdr:col>13</xdr:col>
                    <xdr:colOff>371475</xdr:colOff>
                    <xdr:row>85</xdr:row>
                    <xdr:rowOff>66675</xdr:rowOff>
                  </from>
                  <to>
                    <xdr:col>15</xdr:col>
                    <xdr:colOff>381000</xdr:colOff>
                    <xdr:row>85</xdr:row>
                    <xdr:rowOff>285750</xdr:rowOff>
                  </to>
                </anchor>
              </controlPr>
            </control>
          </mc:Choice>
        </mc:AlternateContent>
        <mc:AlternateContent xmlns:mc="http://schemas.openxmlformats.org/markup-compatibility/2006">
          <mc:Choice Requires="x14">
            <control shapeId="22535" r:id="rId8" name="Option Button 7">
              <controlPr defaultSize="0" autoFill="0" autoLine="0" autoPict="0">
                <anchor moveWithCells="1">
                  <from>
                    <xdr:col>13</xdr:col>
                    <xdr:colOff>371475</xdr:colOff>
                    <xdr:row>86</xdr:row>
                    <xdr:rowOff>66675</xdr:rowOff>
                  </from>
                  <to>
                    <xdr:col>16</xdr:col>
                    <xdr:colOff>333375</xdr:colOff>
                    <xdr:row>86</xdr:row>
                    <xdr:rowOff>285750</xdr:rowOff>
                  </to>
                </anchor>
              </controlPr>
            </control>
          </mc:Choice>
        </mc:AlternateContent>
        <mc:AlternateContent xmlns:mc="http://schemas.openxmlformats.org/markup-compatibility/2006">
          <mc:Choice Requires="x14">
            <control shapeId="22536" r:id="rId9" name="Option Button 8">
              <controlPr defaultSize="0" autoFill="0" autoLine="0" autoPict="0">
                <anchor moveWithCells="1">
                  <from>
                    <xdr:col>13</xdr:col>
                    <xdr:colOff>371475</xdr:colOff>
                    <xdr:row>87</xdr:row>
                    <xdr:rowOff>66675</xdr:rowOff>
                  </from>
                  <to>
                    <xdr:col>15</xdr:col>
                    <xdr:colOff>285750</xdr:colOff>
                    <xdr:row>87</xdr:row>
                    <xdr:rowOff>285750</xdr:rowOff>
                  </to>
                </anchor>
              </controlPr>
            </control>
          </mc:Choice>
        </mc:AlternateContent>
        <mc:AlternateContent xmlns:mc="http://schemas.openxmlformats.org/markup-compatibility/2006">
          <mc:Choice Requires="x14">
            <control shapeId="22537" r:id="rId10" name="Option Button 9">
              <controlPr defaultSize="0" autoFill="0" autoLine="0" autoPict="0">
                <anchor moveWithCells="1">
                  <from>
                    <xdr:col>13</xdr:col>
                    <xdr:colOff>371475</xdr:colOff>
                    <xdr:row>88</xdr:row>
                    <xdr:rowOff>66675</xdr:rowOff>
                  </from>
                  <to>
                    <xdr:col>15</xdr:col>
                    <xdr:colOff>285750</xdr:colOff>
                    <xdr:row>88</xdr:row>
                    <xdr:rowOff>314325</xdr:rowOff>
                  </to>
                </anchor>
              </controlPr>
            </control>
          </mc:Choice>
        </mc:AlternateContent>
        <mc:AlternateContent xmlns:mc="http://schemas.openxmlformats.org/markup-compatibility/2006">
          <mc:Choice Requires="x14">
            <control shapeId="22538" r:id="rId11" name="Option Button 10">
              <controlPr defaultSize="0" autoFill="0" autoLine="0" autoPict="0">
                <anchor moveWithCells="1">
                  <from>
                    <xdr:col>13</xdr:col>
                    <xdr:colOff>371475</xdr:colOff>
                    <xdr:row>89</xdr:row>
                    <xdr:rowOff>66675</xdr:rowOff>
                  </from>
                  <to>
                    <xdr:col>15</xdr:col>
                    <xdr:colOff>285750</xdr:colOff>
                    <xdr:row>89</xdr:row>
                    <xdr:rowOff>285750</xdr:rowOff>
                  </to>
                </anchor>
              </controlPr>
            </control>
          </mc:Choice>
        </mc:AlternateContent>
        <mc:AlternateContent xmlns:mc="http://schemas.openxmlformats.org/markup-compatibility/2006">
          <mc:Choice Requires="x14">
            <control shapeId="22539" r:id="rId12" name="Option Button 11">
              <controlPr defaultSize="0" autoFill="0" autoLine="0" autoPict="0">
                <anchor moveWithCells="1">
                  <from>
                    <xdr:col>13</xdr:col>
                    <xdr:colOff>371475</xdr:colOff>
                    <xdr:row>90</xdr:row>
                    <xdr:rowOff>66675</xdr:rowOff>
                  </from>
                  <to>
                    <xdr:col>15</xdr:col>
                    <xdr:colOff>285750</xdr:colOff>
                    <xdr:row>90</xdr:row>
                    <xdr:rowOff>314325</xdr:rowOff>
                  </to>
                </anchor>
              </controlPr>
            </control>
          </mc:Choice>
        </mc:AlternateContent>
        <mc:AlternateContent xmlns:mc="http://schemas.openxmlformats.org/markup-compatibility/2006">
          <mc:Choice Requires="x14">
            <control shapeId="22540" r:id="rId13" name="Option Button 12">
              <controlPr defaultSize="0" autoFill="0" autoLine="0" autoPict="0">
                <anchor moveWithCells="1">
                  <from>
                    <xdr:col>13</xdr:col>
                    <xdr:colOff>371475</xdr:colOff>
                    <xdr:row>91</xdr:row>
                    <xdr:rowOff>66675</xdr:rowOff>
                  </from>
                  <to>
                    <xdr:col>15</xdr:col>
                    <xdr:colOff>285750</xdr:colOff>
                    <xdr:row>91</xdr:row>
                    <xdr:rowOff>285750</xdr:rowOff>
                  </to>
                </anchor>
              </controlPr>
            </control>
          </mc:Choice>
        </mc:AlternateContent>
        <mc:AlternateContent xmlns:mc="http://schemas.openxmlformats.org/markup-compatibility/2006">
          <mc:Choice Requires="x14">
            <control shapeId="22541" r:id="rId14" name="Option Button 13">
              <controlPr defaultSize="0" autoFill="0" autoLine="0" autoPict="0">
                <anchor moveWithCells="1">
                  <from>
                    <xdr:col>13</xdr:col>
                    <xdr:colOff>371475</xdr:colOff>
                    <xdr:row>92</xdr:row>
                    <xdr:rowOff>66675</xdr:rowOff>
                  </from>
                  <to>
                    <xdr:col>15</xdr:col>
                    <xdr:colOff>285750</xdr:colOff>
                    <xdr:row>92</xdr:row>
                    <xdr:rowOff>285750</xdr:rowOff>
                  </to>
                </anchor>
              </controlPr>
            </control>
          </mc:Choice>
        </mc:AlternateContent>
        <mc:AlternateContent xmlns:mc="http://schemas.openxmlformats.org/markup-compatibility/2006">
          <mc:Choice Requires="x14">
            <control shapeId="22542" r:id="rId15" name="Option Button 14">
              <controlPr defaultSize="0" autoFill="0" autoLine="0" autoPict="0">
                <anchor moveWithCells="1">
                  <from>
                    <xdr:col>13</xdr:col>
                    <xdr:colOff>371475</xdr:colOff>
                    <xdr:row>93</xdr:row>
                    <xdr:rowOff>66675</xdr:rowOff>
                  </from>
                  <to>
                    <xdr:col>15</xdr:col>
                    <xdr:colOff>285750</xdr:colOff>
                    <xdr:row>93</xdr:row>
                    <xdr:rowOff>285750</xdr:rowOff>
                  </to>
                </anchor>
              </controlPr>
            </control>
          </mc:Choice>
        </mc:AlternateContent>
        <mc:AlternateContent xmlns:mc="http://schemas.openxmlformats.org/markup-compatibility/2006">
          <mc:Choice Requires="x14">
            <control shapeId="22543" r:id="rId16" name="Option Button 15">
              <controlPr defaultSize="0" autoFill="0" autoLine="0" autoPict="0">
                <anchor moveWithCells="1">
                  <from>
                    <xdr:col>13</xdr:col>
                    <xdr:colOff>371475</xdr:colOff>
                    <xdr:row>94</xdr:row>
                    <xdr:rowOff>66675</xdr:rowOff>
                  </from>
                  <to>
                    <xdr:col>15</xdr:col>
                    <xdr:colOff>285750</xdr:colOff>
                    <xdr:row>94</xdr:row>
                    <xdr:rowOff>285750</xdr:rowOff>
                  </to>
                </anchor>
              </controlPr>
            </control>
          </mc:Choice>
        </mc:AlternateContent>
        <mc:AlternateContent xmlns:mc="http://schemas.openxmlformats.org/markup-compatibility/2006">
          <mc:Choice Requires="x14">
            <control shapeId="22544" r:id="rId17" name="Option Button 16">
              <controlPr defaultSize="0" autoFill="0" autoLine="0" autoPict="0">
                <anchor moveWithCells="1">
                  <from>
                    <xdr:col>13</xdr:col>
                    <xdr:colOff>371475</xdr:colOff>
                    <xdr:row>95</xdr:row>
                    <xdr:rowOff>66675</xdr:rowOff>
                  </from>
                  <to>
                    <xdr:col>15</xdr:col>
                    <xdr:colOff>285750</xdr:colOff>
                    <xdr:row>95</xdr:row>
                    <xdr:rowOff>285750</xdr:rowOff>
                  </to>
                </anchor>
              </controlPr>
            </control>
          </mc:Choice>
        </mc:AlternateContent>
        <mc:AlternateContent xmlns:mc="http://schemas.openxmlformats.org/markup-compatibility/2006">
          <mc:Choice Requires="x14">
            <control shapeId="22545" r:id="rId18" name="Option Button 17">
              <controlPr defaultSize="0" autoFill="0" autoLine="0" autoPict="0">
                <anchor moveWithCells="1">
                  <from>
                    <xdr:col>13</xdr:col>
                    <xdr:colOff>371475</xdr:colOff>
                    <xdr:row>96</xdr:row>
                    <xdr:rowOff>66675</xdr:rowOff>
                  </from>
                  <to>
                    <xdr:col>15</xdr:col>
                    <xdr:colOff>285750</xdr:colOff>
                    <xdr:row>96</xdr:row>
                    <xdr:rowOff>285750</xdr:rowOff>
                  </to>
                </anchor>
              </controlPr>
            </control>
          </mc:Choice>
        </mc:AlternateContent>
        <mc:AlternateContent xmlns:mc="http://schemas.openxmlformats.org/markup-compatibility/2006">
          <mc:Choice Requires="x14">
            <control shapeId="22546"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22547" r:id="rId20" name="Option Button 19">
              <controlPr defaultSize="0" autoFill="0" autoLine="0" autoPict="0">
                <anchor moveWithCells="1">
                  <from>
                    <xdr:col>13</xdr:col>
                    <xdr:colOff>371475</xdr:colOff>
                    <xdr:row>98</xdr:row>
                    <xdr:rowOff>66675</xdr:rowOff>
                  </from>
                  <to>
                    <xdr:col>16</xdr:col>
                    <xdr:colOff>285750</xdr:colOff>
                    <xdr:row>98</xdr:row>
                    <xdr:rowOff>285750</xdr:rowOff>
                  </to>
                </anchor>
              </controlPr>
            </control>
          </mc:Choice>
        </mc:AlternateContent>
        <mc:AlternateContent xmlns:mc="http://schemas.openxmlformats.org/markup-compatibility/2006">
          <mc:Choice Requires="x14">
            <control shapeId="22550" r:id="rId21" name="Option Button 22">
              <controlPr defaultSize="0" autoFill="0" autoLine="0" autoPict="0">
                <anchor moveWithCells="1">
                  <from>
                    <xdr:col>13</xdr:col>
                    <xdr:colOff>371475</xdr:colOff>
                    <xdr:row>100</xdr:row>
                    <xdr:rowOff>66675</xdr:rowOff>
                  </from>
                  <to>
                    <xdr:col>15</xdr:col>
                    <xdr:colOff>285750</xdr:colOff>
                    <xdr:row>100</xdr:row>
                    <xdr:rowOff>285750</xdr:rowOff>
                  </to>
                </anchor>
              </controlPr>
            </control>
          </mc:Choice>
        </mc:AlternateContent>
        <mc:AlternateContent xmlns:mc="http://schemas.openxmlformats.org/markup-compatibility/2006">
          <mc:Choice Requires="x14">
            <control shapeId="22551" r:id="rId22" name="Option Button 23">
              <controlPr defaultSize="0" autoFill="0" autoLine="0" autoPict="0">
                <anchor moveWithCells="1">
                  <from>
                    <xdr:col>13</xdr:col>
                    <xdr:colOff>371475</xdr:colOff>
                    <xdr:row>101</xdr:row>
                    <xdr:rowOff>66675</xdr:rowOff>
                  </from>
                  <to>
                    <xdr:col>15</xdr:col>
                    <xdr:colOff>333375</xdr:colOff>
                    <xdr:row>101</xdr:row>
                    <xdr:rowOff>285750</xdr:rowOff>
                  </to>
                </anchor>
              </controlPr>
            </control>
          </mc:Choice>
        </mc:AlternateContent>
        <mc:AlternateContent xmlns:mc="http://schemas.openxmlformats.org/markup-compatibility/2006">
          <mc:Choice Requires="x14">
            <control shapeId="22552" r:id="rId23" name="Option Button 24">
              <controlPr defaultSize="0" autoFill="0" autoLine="0" autoPict="0">
                <anchor moveWithCells="1">
                  <from>
                    <xdr:col>13</xdr:col>
                    <xdr:colOff>371475</xdr:colOff>
                    <xdr:row>102</xdr:row>
                    <xdr:rowOff>66675</xdr:rowOff>
                  </from>
                  <to>
                    <xdr:col>15</xdr:col>
                    <xdr:colOff>333375</xdr:colOff>
                    <xdr:row>102</xdr:row>
                    <xdr:rowOff>285750</xdr:rowOff>
                  </to>
                </anchor>
              </controlPr>
            </control>
          </mc:Choice>
        </mc:AlternateContent>
        <mc:AlternateContent xmlns:mc="http://schemas.openxmlformats.org/markup-compatibility/2006">
          <mc:Choice Requires="x14">
            <control shapeId="22553" r:id="rId24" name="Option Button 25">
              <controlPr defaultSize="0" autoFill="0" autoLine="0" autoPict="0">
                <anchor moveWithCells="1">
                  <from>
                    <xdr:col>13</xdr:col>
                    <xdr:colOff>371475</xdr:colOff>
                    <xdr:row>103</xdr:row>
                    <xdr:rowOff>66675</xdr:rowOff>
                  </from>
                  <to>
                    <xdr:col>15</xdr:col>
                    <xdr:colOff>333375</xdr:colOff>
                    <xdr:row>103</xdr:row>
                    <xdr:rowOff>285750</xdr:rowOff>
                  </to>
                </anchor>
              </controlPr>
            </control>
          </mc:Choice>
        </mc:AlternateContent>
        <mc:AlternateContent xmlns:mc="http://schemas.openxmlformats.org/markup-compatibility/2006">
          <mc:Choice Requires="x14">
            <control shapeId="22554" r:id="rId25" name="Option Button 26">
              <controlPr defaultSize="0" autoFill="0" autoLine="0" autoPict="0">
                <anchor moveWithCells="1">
                  <from>
                    <xdr:col>13</xdr:col>
                    <xdr:colOff>371475</xdr:colOff>
                    <xdr:row>104</xdr:row>
                    <xdr:rowOff>66675</xdr:rowOff>
                  </from>
                  <to>
                    <xdr:col>15</xdr:col>
                    <xdr:colOff>285750</xdr:colOff>
                    <xdr:row>104</xdr:row>
                    <xdr:rowOff>285750</xdr:rowOff>
                  </to>
                </anchor>
              </controlPr>
            </control>
          </mc:Choice>
        </mc:AlternateContent>
        <mc:AlternateContent xmlns:mc="http://schemas.openxmlformats.org/markup-compatibility/2006">
          <mc:Choice Requires="x14">
            <control shapeId="22555" r:id="rId26" name="Option Button 27">
              <controlPr defaultSize="0" autoFill="0" autoLine="0" autoPict="0">
                <anchor moveWithCells="1">
                  <from>
                    <xdr:col>16</xdr:col>
                    <xdr:colOff>371475</xdr:colOff>
                    <xdr:row>85</xdr:row>
                    <xdr:rowOff>66675</xdr:rowOff>
                  </from>
                  <to>
                    <xdr:col>18</xdr:col>
                    <xdr:colOff>571500</xdr:colOff>
                    <xdr:row>85</xdr:row>
                    <xdr:rowOff>285750</xdr:rowOff>
                  </to>
                </anchor>
              </controlPr>
            </control>
          </mc:Choice>
        </mc:AlternateContent>
        <mc:AlternateContent xmlns:mc="http://schemas.openxmlformats.org/markup-compatibility/2006">
          <mc:Choice Requires="x14">
            <control shapeId="22556"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22557" r:id="rId28" name="Option Button 29">
              <controlPr defaultSize="0" autoFill="0" autoLine="0" autoPict="0">
                <anchor moveWithCells="1">
                  <from>
                    <xdr:col>16</xdr:col>
                    <xdr:colOff>371475</xdr:colOff>
                    <xdr:row>87</xdr:row>
                    <xdr:rowOff>66675</xdr:rowOff>
                  </from>
                  <to>
                    <xdr:col>18</xdr:col>
                    <xdr:colOff>552450</xdr:colOff>
                    <xdr:row>87</xdr:row>
                    <xdr:rowOff>285750</xdr:rowOff>
                  </to>
                </anchor>
              </controlPr>
            </control>
          </mc:Choice>
        </mc:AlternateContent>
        <mc:AlternateContent xmlns:mc="http://schemas.openxmlformats.org/markup-compatibility/2006">
          <mc:Choice Requires="x14">
            <control shapeId="22558"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22559" r:id="rId30" name="Option Button 31">
              <controlPr defaultSize="0" autoFill="0" autoLine="0" autoPict="0">
                <anchor moveWithCells="1">
                  <from>
                    <xdr:col>16</xdr:col>
                    <xdr:colOff>371475</xdr:colOff>
                    <xdr:row>89</xdr:row>
                    <xdr:rowOff>66675</xdr:rowOff>
                  </from>
                  <to>
                    <xdr:col>18</xdr:col>
                    <xdr:colOff>571500</xdr:colOff>
                    <xdr:row>89</xdr:row>
                    <xdr:rowOff>285750</xdr:rowOff>
                  </to>
                </anchor>
              </controlPr>
            </control>
          </mc:Choice>
        </mc:AlternateContent>
        <mc:AlternateContent xmlns:mc="http://schemas.openxmlformats.org/markup-compatibility/2006">
          <mc:Choice Requires="x14">
            <control shapeId="22560" r:id="rId31" name="Option Button 32">
              <controlPr defaultSize="0" autoFill="0" autoLine="0" autoPict="0">
                <anchor moveWithCells="1">
                  <from>
                    <xdr:col>16</xdr:col>
                    <xdr:colOff>371475</xdr:colOff>
                    <xdr:row>90</xdr:row>
                    <xdr:rowOff>66675</xdr:rowOff>
                  </from>
                  <to>
                    <xdr:col>18</xdr:col>
                    <xdr:colOff>552450</xdr:colOff>
                    <xdr:row>90</xdr:row>
                    <xdr:rowOff>314325</xdr:rowOff>
                  </to>
                </anchor>
              </controlPr>
            </control>
          </mc:Choice>
        </mc:AlternateContent>
        <mc:AlternateContent xmlns:mc="http://schemas.openxmlformats.org/markup-compatibility/2006">
          <mc:Choice Requires="x14">
            <control shapeId="22561"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22562"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22563"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22564" r:id="rId35" name="Option Button 36">
              <controlPr defaultSize="0" autoFill="0" autoLine="0" autoPict="0">
                <anchor moveWithCells="1">
                  <from>
                    <xdr:col>16</xdr:col>
                    <xdr:colOff>371475</xdr:colOff>
                    <xdr:row>94</xdr:row>
                    <xdr:rowOff>66675</xdr:rowOff>
                  </from>
                  <to>
                    <xdr:col>18</xdr:col>
                    <xdr:colOff>552450</xdr:colOff>
                    <xdr:row>94</xdr:row>
                    <xdr:rowOff>285750</xdr:rowOff>
                  </to>
                </anchor>
              </controlPr>
            </control>
          </mc:Choice>
        </mc:AlternateContent>
        <mc:AlternateContent xmlns:mc="http://schemas.openxmlformats.org/markup-compatibility/2006">
          <mc:Choice Requires="x14">
            <control shapeId="22565"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22566" r:id="rId37" name="Option Button 38">
              <controlPr defaultSize="0" autoFill="0" autoLine="0" autoPict="0">
                <anchor moveWithCells="1">
                  <from>
                    <xdr:col>16</xdr:col>
                    <xdr:colOff>371475</xdr:colOff>
                    <xdr:row>96</xdr:row>
                    <xdr:rowOff>66675</xdr:rowOff>
                  </from>
                  <to>
                    <xdr:col>18</xdr:col>
                    <xdr:colOff>552450</xdr:colOff>
                    <xdr:row>96</xdr:row>
                    <xdr:rowOff>285750</xdr:rowOff>
                  </to>
                </anchor>
              </controlPr>
            </control>
          </mc:Choice>
        </mc:AlternateContent>
        <mc:AlternateContent xmlns:mc="http://schemas.openxmlformats.org/markup-compatibility/2006">
          <mc:Choice Requires="x14">
            <control shapeId="22567" r:id="rId38" name="Option Button 39">
              <controlPr defaultSize="0" autoFill="0" autoLine="0" autoPict="0">
                <anchor moveWithCells="1">
                  <from>
                    <xdr:col>16</xdr:col>
                    <xdr:colOff>371475</xdr:colOff>
                    <xdr:row>97</xdr:row>
                    <xdr:rowOff>66675</xdr:rowOff>
                  </from>
                  <to>
                    <xdr:col>18</xdr:col>
                    <xdr:colOff>571500</xdr:colOff>
                    <xdr:row>97</xdr:row>
                    <xdr:rowOff>285750</xdr:rowOff>
                  </to>
                </anchor>
              </controlPr>
            </control>
          </mc:Choice>
        </mc:AlternateContent>
        <mc:AlternateContent xmlns:mc="http://schemas.openxmlformats.org/markup-compatibility/2006">
          <mc:Choice Requires="x14">
            <control shapeId="22568"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22571" r:id="rId40" name="Option Button 43">
              <controlPr defaultSize="0" autoFill="0" autoLine="0" autoPict="0">
                <anchor moveWithCells="1">
                  <from>
                    <xdr:col>16</xdr:col>
                    <xdr:colOff>371475</xdr:colOff>
                    <xdr:row>100</xdr:row>
                    <xdr:rowOff>66675</xdr:rowOff>
                  </from>
                  <to>
                    <xdr:col>18</xdr:col>
                    <xdr:colOff>571500</xdr:colOff>
                    <xdr:row>100</xdr:row>
                    <xdr:rowOff>285750</xdr:rowOff>
                  </to>
                </anchor>
              </controlPr>
            </control>
          </mc:Choice>
        </mc:AlternateContent>
        <mc:AlternateContent xmlns:mc="http://schemas.openxmlformats.org/markup-compatibility/2006">
          <mc:Choice Requires="x14">
            <control shapeId="22572" r:id="rId41" name="Option Button 44">
              <controlPr defaultSize="0" autoFill="0" autoLine="0" autoPict="0">
                <anchor moveWithCells="1">
                  <from>
                    <xdr:col>16</xdr:col>
                    <xdr:colOff>371475</xdr:colOff>
                    <xdr:row>101</xdr:row>
                    <xdr:rowOff>66675</xdr:rowOff>
                  </from>
                  <to>
                    <xdr:col>18</xdr:col>
                    <xdr:colOff>600075</xdr:colOff>
                    <xdr:row>101</xdr:row>
                    <xdr:rowOff>285750</xdr:rowOff>
                  </to>
                </anchor>
              </controlPr>
            </control>
          </mc:Choice>
        </mc:AlternateContent>
        <mc:AlternateContent xmlns:mc="http://schemas.openxmlformats.org/markup-compatibility/2006">
          <mc:Choice Requires="x14">
            <control shapeId="22573" r:id="rId42" name="Option Button 45">
              <controlPr defaultSize="0" autoFill="0" autoLine="0" autoPict="0">
                <anchor moveWithCells="1">
                  <from>
                    <xdr:col>16</xdr:col>
                    <xdr:colOff>371475</xdr:colOff>
                    <xdr:row>102</xdr:row>
                    <xdr:rowOff>66675</xdr:rowOff>
                  </from>
                  <to>
                    <xdr:col>18</xdr:col>
                    <xdr:colOff>619125</xdr:colOff>
                    <xdr:row>102</xdr:row>
                    <xdr:rowOff>285750</xdr:rowOff>
                  </to>
                </anchor>
              </controlPr>
            </control>
          </mc:Choice>
        </mc:AlternateContent>
        <mc:AlternateContent xmlns:mc="http://schemas.openxmlformats.org/markup-compatibility/2006">
          <mc:Choice Requires="x14">
            <control shapeId="22574"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22575" r:id="rId44" name="Option Button 47">
              <controlPr defaultSize="0" autoFill="0" autoLine="0" autoPict="0">
                <anchor moveWithCells="1">
                  <from>
                    <xdr:col>16</xdr:col>
                    <xdr:colOff>371475</xdr:colOff>
                    <xdr:row>104</xdr:row>
                    <xdr:rowOff>66675</xdr:rowOff>
                  </from>
                  <to>
                    <xdr:col>18</xdr:col>
                    <xdr:colOff>571500</xdr:colOff>
                    <xdr:row>104</xdr:row>
                    <xdr:rowOff>314325</xdr:rowOff>
                  </to>
                </anchor>
              </controlPr>
            </control>
          </mc:Choice>
        </mc:AlternateContent>
        <mc:AlternateContent xmlns:mc="http://schemas.openxmlformats.org/markup-compatibility/2006">
          <mc:Choice Requires="x14">
            <control shapeId="22576" r:id="rId45" name="Option Button 48">
              <controlPr defaultSize="0" autoFill="0" autoLine="0" autoPict="0">
                <anchor moveWithCells="1">
                  <from>
                    <xdr:col>19</xdr:col>
                    <xdr:colOff>381000</xdr:colOff>
                    <xdr:row>85</xdr:row>
                    <xdr:rowOff>66675</xdr:rowOff>
                  </from>
                  <to>
                    <xdr:col>21</xdr:col>
                    <xdr:colOff>333375</xdr:colOff>
                    <xdr:row>85</xdr:row>
                    <xdr:rowOff>285750</xdr:rowOff>
                  </to>
                </anchor>
              </controlPr>
            </control>
          </mc:Choice>
        </mc:AlternateContent>
        <mc:AlternateContent xmlns:mc="http://schemas.openxmlformats.org/markup-compatibility/2006">
          <mc:Choice Requires="x14">
            <control shapeId="22577" r:id="rId46" name="Option Button 49">
              <controlPr defaultSize="0" autoFill="0" autoLine="0" autoPict="0">
                <anchor moveWithCells="1">
                  <from>
                    <xdr:col>19</xdr:col>
                    <xdr:colOff>381000</xdr:colOff>
                    <xdr:row>86</xdr:row>
                    <xdr:rowOff>66675</xdr:rowOff>
                  </from>
                  <to>
                    <xdr:col>21</xdr:col>
                    <xdr:colOff>285750</xdr:colOff>
                    <xdr:row>86</xdr:row>
                    <xdr:rowOff>285750</xdr:rowOff>
                  </to>
                </anchor>
              </controlPr>
            </control>
          </mc:Choice>
        </mc:AlternateContent>
        <mc:AlternateContent xmlns:mc="http://schemas.openxmlformats.org/markup-compatibility/2006">
          <mc:Choice Requires="x14">
            <control shapeId="22578" r:id="rId47" name="Option Button 50">
              <controlPr defaultSize="0" autoFill="0" autoLine="0" autoPict="0">
                <anchor moveWithCells="1">
                  <from>
                    <xdr:col>19</xdr:col>
                    <xdr:colOff>381000</xdr:colOff>
                    <xdr:row>87</xdr:row>
                    <xdr:rowOff>66675</xdr:rowOff>
                  </from>
                  <to>
                    <xdr:col>21</xdr:col>
                    <xdr:colOff>285750</xdr:colOff>
                    <xdr:row>87</xdr:row>
                    <xdr:rowOff>285750</xdr:rowOff>
                  </to>
                </anchor>
              </controlPr>
            </control>
          </mc:Choice>
        </mc:AlternateContent>
        <mc:AlternateContent xmlns:mc="http://schemas.openxmlformats.org/markup-compatibility/2006">
          <mc:Choice Requires="x14">
            <control shapeId="22579" r:id="rId48" name="Option Button 51">
              <controlPr defaultSize="0" autoFill="0" autoLine="0" autoPict="0">
                <anchor moveWithCells="1">
                  <from>
                    <xdr:col>19</xdr:col>
                    <xdr:colOff>381000</xdr:colOff>
                    <xdr:row>88</xdr:row>
                    <xdr:rowOff>66675</xdr:rowOff>
                  </from>
                  <to>
                    <xdr:col>21</xdr:col>
                    <xdr:colOff>285750</xdr:colOff>
                    <xdr:row>88</xdr:row>
                    <xdr:rowOff>314325</xdr:rowOff>
                  </to>
                </anchor>
              </controlPr>
            </control>
          </mc:Choice>
        </mc:AlternateContent>
        <mc:AlternateContent xmlns:mc="http://schemas.openxmlformats.org/markup-compatibility/2006">
          <mc:Choice Requires="x14">
            <control shapeId="22580" r:id="rId49" name="Option Button 52">
              <controlPr defaultSize="0" autoFill="0" autoLine="0" autoPict="0">
                <anchor moveWithCells="1">
                  <from>
                    <xdr:col>19</xdr:col>
                    <xdr:colOff>381000</xdr:colOff>
                    <xdr:row>89</xdr:row>
                    <xdr:rowOff>66675</xdr:rowOff>
                  </from>
                  <to>
                    <xdr:col>21</xdr:col>
                    <xdr:colOff>285750</xdr:colOff>
                    <xdr:row>89</xdr:row>
                    <xdr:rowOff>285750</xdr:rowOff>
                  </to>
                </anchor>
              </controlPr>
            </control>
          </mc:Choice>
        </mc:AlternateContent>
        <mc:AlternateContent xmlns:mc="http://schemas.openxmlformats.org/markup-compatibility/2006">
          <mc:Choice Requires="x14">
            <control shapeId="22581" r:id="rId50" name="Option Button 53">
              <controlPr defaultSize="0" autoFill="0" autoLine="0" autoPict="0">
                <anchor moveWithCells="1">
                  <from>
                    <xdr:col>19</xdr:col>
                    <xdr:colOff>381000</xdr:colOff>
                    <xdr:row>90</xdr:row>
                    <xdr:rowOff>66675</xdr:rowOff>
                  </from>
                  <to>
                    <xdr:col>21</xdr:col>
                    <xdr:colOff>285750</xdr:colOff>
                    <xdr:row>90</xdr:row>
                    <xdr:rowOff>314325</xdr:rowOff>
                  </to>
                </anchor>
              </controlPr>
            </control>
          </mc:Choice>
        </mc:AlternateContent>
        <mc:AlternateContent xmlns:mc="http://schemas.openxmlformats.org/markup-compatibility/2006">
          <mc:Choice Requires="x14">
            <control shapeId="22582"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22583" r:id="rId52" name="Option Button 55">
              <controlPr defaultSize="0" autoFill="0" autoLine="0" autoPict="0">
                <anchor moveWithCells="1">
                  <from>
                    <xdr:col>19</xdr:col>
                    <xdr:colOff>381000</xdr:colOff>
                    <xdr:row>92</xdr:row>
                    <xdr:rowOff>66675</xdr:rowOff>
                  </from>
                  <to>
                    <xdr:col>21</xdr:col>
                    <xdr:colOff>314325</xdr:colOff>
                    <xdr:row>92</xdr:row>
                    <xdr:rowOff>285750</xdr:rowOff>
                  </to>
                </anchor>
              </controlPr>
            </control>
          </mc:Choice>
        </mc:AlternateContent>
        <mc:AlternateContent xmlns:mc="http://schemas.openxmlformats.org/markup-compatibility/2006">
          <mc:Choice Requires="x14">
            <control shapeId="22584" r:id="rId53" name="Option Button 56">
              <controlPr defaultSize="0" autoFill="0" autoLine="0" autoPict="0">
                <anchor moveWithCells="1">
                  <from>
                    <xdr:col>19</xdr:col>
                    <xdr:colOff>381000</xdr:colOff>
                    <xdr:row>93</xdr:row>
                    <xdr:rowOff>66675</xdr:rowOff>
                  </from>
                  <to>
                    <xdr:col>21</xdr:col>
                    <xdr:colOff>285750</xdr:colOff>
                    <xdr:row>93</xdr:row>
                    <xdr:rowOff>285750</xdr:rowOff>
                  </to>
                </anchor>
              </controlPr>
            </control>
          </mc:Choice>
        </mc:AlternateContent>
        <mc:AlternateContent xmlns:mc="http://schemas.openxmlformats.org/markup-compatibility/2006">
          <mc:Choice Requires="x14">
            <control shapeId="22585" r:id="rId54" name="Option Button 57">
              <controlPr defaultSize="0" autoFill="0" autoLine="0" autoPict="0">
                <anchor moveWithCells="1">
                  <from>
                    <xdr:col>19</xdr:col>
                    <xdr:colOff>381000</xdr:colOff>
                    <xdr:row>94</xdr:row>
                    <xdr:rowOff>66675</xdr:rowOff>
                  </from>
                  <to>
                    <xdr:col>21</xdr:col>
                    <xdr:colOff>285750</xdr:colOff>
                    <xdr:row>94</xdr:row>
                    <xdr:rowOff>285750</xdr:rowOff>
                  </to>
                </anchor>
              </controlPr>
            </control>
          </mc:Choice>
        </mc:AlternateContent>
        <mc:AlternateContent xmlns:mc="http://schemas.openxmlformats.org/markup-compatibility/2006">
          <mc:Choice Requires="x14">
            <control shapeId="22586"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22587" r:id="rId56" name="Option Button 59">
              <controlPr defaultSize="0" autoFill="0" autoLine="0" autoPict="0">
                <anchor moveWithCells="1">
                  <from>
                    <xdr:col>19</xdr:col>
                    <xdr:colOff>381000</xdr:colOff>
                    <xdr:row>96</xdr:row>
                    <xdr:rowOff>66675</xdr:rowOff>
                  </from>
                  <to>
                    <xdr:col>21</xdr:col>
                    <xdr:colOff>314325</xdr:colOff>
                    <xdr:row>96</xdr:row>
                    <xdr:rowOff>285750</xdr:rowOff>
                  </to>
                </anchor>
              </controlPr>
            </control>
          </mc:Choice>
        </mc:AlternateContent>
        <mc:AlternateContent xmlns:mc="http://schemas.openxmlformats.org/markup-compatibility/2006">
          <mc:Choice Requires="x14">
            <control shapeId="22588" r:id="rId57" name="Option Button 60">
              <controlPr defaultSize="0" autoFill="0" autoLine="0" autoPict="0">
                <anchor moveWithCells="1">
                  <from>
                    <xdr:col>19</xdr:col>
                    <xdr:colOff>381000</xdr:colOff>
                    <xdr:row>97</xdr:row>
                    <xdr:rowOff>66675</xdr:rowOff>
                  </from>
                  <to>
                    <xdr:col>21</xdr:col>
                    <xdr:colOff>285750</xdr:colOff>
                    <xdr:row>97</xdr:row>
                    <xdr:rowOff>285750</xdr:rowOff>
                  </to>
                </anchor>
              </controlPr>
            </control>
          </mc:Choice>
        </mc:AlternateContent>
        <mc:AlternateContent xmlns:mc="http://schemas.openxmlformats.org/markup-compatibility/2006">
          <mc:Choice Requires="x14">
            <control shapeId="22589"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22596" r:id="rId59" name="Group Box 68">
              <controlPr defaultSize="0" autoFill="0" autoPict="0">
                <anchor moveWithCells="1">
                  <from>
                    <xdr:col>12</xdr:col>
                    <xdr:colOff>504825</xdr:colOff>
                    <xdr:row>84</xdr:row>
                    <xdr:rowOff>28575</xdr:rowOff>
                  </from>
                  <to>
                    <xdr:col>25</xdr:col>
                    <xdr:colOff>381000</xdr:colOff>
                    <xdr:row>84</xdr:row>
                    <xdr:rowOff>342900</xdr:rowOff>
                  </to>
                </anchor>
              </controlPr>
            </control>
          </mc:Choice>
        </mc:AlternateContent>
        <mc:AlternateContent xmlns:mc="http://schemas.openxmlformats.org/markup-compatibility/2006">
          <mc:Choice Requires="x14">
            <control shapeId="22597" r:id="rId60" name="Group Box 69">
              <controlPr defaultSize="0" autoFill="0" autoPict="0">
                <anchor moveWithCells="1">
                  <from>
                    <xdr:col>12</xdr:col>
                    <xdr:colOff>504825</xdr:colOff>
                    <xdr:row>85</xdr:row>
                    <xdr:rowOff>38100</xdr:rowOff>
                  </from>
                  <to>
                    <xdr:col>25</xdr:col>
                    <xdr:colOff>381000</xdr:colOff>
                    <xdr:row>85</xdr:row>
                    <xdr:rowOff>381000</xdr:rowOff>
                  </to>
                </anchor>
              </controlPr>
            </control>
          </mc:Choice>
        </mc:AlternateContent>
        <mc:AlternateContent xmlns:mc="http://schemas.openxmlformats.org/markup-compatibility/2006">
          <mc:Choice Requires="x14">
            <control shapeId="22598" r:id="rId61" name="Group Box 70">
              <controlPr defaultSize="0" autoFill="0" autoPict="0">
                <anchor moveWithCells="1">
                  <from>
                    <xdr:col>12</xdr:col>
                    <xdr:colOff>504825</xdr:colOff>
                    <xdr:row>86</xdr:row>
                    <xdr:rowOff>38100</xdr:rowOff>
                  </from>
                  <to>
                    <xdr:col>25</xdr:col>
                    <xdr:colOff>381000</xdr:colOff>
                    <xdr:row>86</xdr:row>
                    <xdr:rowOff>381000</xdr:rowOff>
                  </to>
                </anchor>
              </controlPr>
            </control>
          </mc:Choice>
        </mc:AlternateContent>
        <mc:AlternateContent xmlns:mc="http://schemas.openxmlformats.org/markup-compatibility/2006">
          <mc:Choice Requires="x14">
            <control shapeId="22599" r:id="rId62" name="Group Box 71">
              <controlPr defaultSize="0" autoFill="0" autoPict="0">
                <anchor moveWithCells="1">
                  <from>
                    <xdr:col>12</xdr:col>
                    <xdr:colOff>504825</xdr:colOff>
                    <xdr:row>87</xdr:row>
                    <xdr:rowOff>28575</xdr:rowOff>
                  </from>
                  <to>
                    <xdr:col>25</xdr:col>
                    <xdr:colOff>381000</xdr:colOff>
                    <xdr:row>87</xdr:row>
                    <xdr:rowOff>333375</xdr:rowOff>
                  </to>
                </anchor>
              </controlPr>
            </control>
          </mc:Choice>
        </mc:AlternateContent>
        <mc:AlternateContent xmlns:mc="http://schemas.openxmlformats.org/markup-compatibility/2006">
          <mc:Choice Requires="x14">
            <control shapeId="22600" r:id="rId63" name="Group Box 72">
              <controlPr defaultSize="0" autoFill="0" autoPict="0">
                <anchor moveWithCells="1">
                  <from>
                    <xdr:col>12</xdr:col>
                    <xdr:colOff>504825</xdr:colOff>
                    <xdr:row>88</xdr:row>
                    <xdr:rowOff>38100</xdr:rowOff>
                  </from>
                  <to>
                    <xdr:col>25</xdr:col>
                    <xdr:colOff>381000</xdr:colOff>
                    <xdr:row>88</xdr:row>
                    <xdr:rowOff>381000</xdr:rowOff>
                  </to>
                </anchor>
              </controlPr>
            </control>
          </mc:Choice>
        </mc:AlternateContent>
        <mc:AlternateContent xmlns:mc="http://schemas.openxmlformats.org/markup-compatibility/2006">
          <mc:Choice Requires="x14">
            <control shapeId="22601" r:id="rId64" name="Group Box 73">
              <controlPr defaultSize="0" autoFill="0" autoPict="0">
                <anchor moveWithCells="1">
                  <from>
                    <xdr:col>12</xdr:col>
                    <xdr:colOff>504825</xdr:colOff>
                    <xdr:row>89</xdr:row>
                    <xdr:rowOff>47625</xdr:rowOff>
                  </from>
                  <to>
                    <xdr:col>25</xdr:col>
                    <xdr:colOff>381000</xdr:colOff>
                    <xdr:row>89</xdr:row>
                    <xdr:rowOff>381000</xdr:rowOff>
                  </to>
                </anchor>
              </controlPr>
            </control>
          </mc:Choice>
        </mc:AlternateContent>
        <mc:AlternateContent xmlns:mc="http://schemas.openxmlformats.org/markup-compatibility/2006">
          <mc:Choice Requires="x14">
            <control shapeId="22602" r:id="rId65" name="Group Box 74">
              <controlPr defaultSize="0" autoFill="0" autoPict="0">
                <anchor moveWithCells="1">
                  <from>
                    <xdr:col>12</xdr:col>
                    <xdr:colOff>504825</xdr:colOff>
                    <xdr:row>90</xdr:row>
                    <xdr:rowOff>38100</xdr:rowOff>
                  </from>
                  <to>
                    <xdr:col>25</xdr:col>
                    <xdr:colOff>381000</xdr:colOff>
                    <xdr:row>90</xdr:row>
                    <xdr:rowOff>381000</xdr:rowOff>
                  </to>
                </anchor>
              </controlPr>
            </control>
          </mc:Choice>
        </mc:AlternateContent>
        <mc:AlternateContent xmlns:mc="http://schemas.openxmlformats.org/markup-compatibility/2006">
          <mc:Choice Requires="x14">
            <control shapeId="22603" r:id="rId66" name="Group Box 75">
              <controlPr defaultSize="0" autoFill="0" autoPict="0">
                <anchor moveWithCells="1">
                  <from>
                    <xdr:col>12</xdr:col>
                    <xdr:colOff>504825</xdr:colOff>
                    <xdr:row>91</xdr:row>
                    <xdr:rowOff>38100</xdr:rowOff>
                  </from>
                  <to>
                    <xdr:col>25</xdr:col>
                    <xdr:colOff>381000</xdr:colOff>
                    <xdr:row>91</xdr:row>
                    <xdr:rowOff>381000</xdr:rowOff>
                  </to>
                </anchor>
              </controlPr>
            </control>
          </mc:Choice>
        </mc:AlternateContent>
        <mc:AlternateContent xmlns:mc="http://schemas.openxmlformats.org/markup-compatibility/2006">
          <mc:Choice Requires="x14">
            <control shapeId="22604" r:id="rId67" name="Group Box 76">
              <controlPr defaultSize="0" autoFill="0" autoPict="0">
                <anchor moveWithCells="1">
                  <from>
                    <xdr:col>12</xdr:col>
                    <xdr:colOff>504825</xdr:colOff>
                    <xdr:row>92</xdr:row>
                    <xdr:rowOff>47625</xdr:rowOff>
                  </from>
                  <to>
                    <xdr:col>25</xdr:col>
                    <xdr:colOff>381000</xdr:colOff>
                    <xdr:row>92</xdr:row>
                    <xdr:rowOff>381000</xdr:rowOff>
                  </to>
                </anchor>
              </controlPr>
            </control>
          </mc:Choice>
        </mc:AlternateContent>
        <mc:AlternateContent xmlns:mc="http://schemas.openxmlformats.org/markup-compatibility/2006">
          <mc:Choice Requires="x14">
            <control shapeId="22605" r:id="rId68" name="Group Box 77">
              <controlPr defaultSize="0" autoFill="0" autoPict="0">
                <anchor moveWithCells="1">
                  <from>
                    <xdr:col>12</xdr:col>
                    <xdr:colOff>504825</xdr:colOff>
                    <xdr:row>93</xdr:row>
                    <xdr:rowOff>57150</xdr:rowOff>
                  </from>
                  <to>
                    <xdr:col>25</xdr:col>
                    <xdr:colOff>381000</xdr:colOff>
                    <xdr:row>93</xdr:row>
                    <xdr:rowOff>381000</xdr:rowOff>
                  </to>
                </anchor>
              </controlPr>
            </control>
          </mc:Choice>
        </mc:AlternateContent>
        <mc:AlternateContent xmlns:mc="http://schemas.openxmlformats.org/markup-compatibility/2006">
          <mc:Choice Requires="x14">
            <control shapeId="22606" r:id="rId69" name="Group Box 78">
              <controlPr defaultSize="0" autoFill="0" autoPict="0">
                <anchor moveWithCells="1">
                  <from>
                    <xdr:col>12</xdr:col>
                    <xdr:colOff>504825</xdr:colOff>
                    <xdr:row>94</xdr:row>
                    <xdr:rowOff>47625</xdr:rowOff>
                  </from>
                  <to>
                    <xdr:col>25</xdr:col>
                    <xdr:colOff>381000</xdr:colOff>
                    <xdr:row>94</xdr:row>
                    <xdr:rowOff>381000</xdr:rowOff>
                  </to>
                </anchor>
              </controlPr>
            </control>
          </mc:Choice>
        </mc:AlternateContent>
        <mc:AlternateContent xmlns:mc="http://schemas.openxmlformats.org/markup-compatibility/2006">
          <mc:Choice Requires="x14">
            <control shapeId="22607" r:id="rId70" name="Group Box 79">
              <controlPr defaultSize="0" autoFill="0" autoPict="0">
                <anchor moveWithCells="1">
                  <from>
                    <xdr:col>12</xdr:col>
                    <xdr:colOff>504825</xdr:colOff>
                    <xdr:row>95</xdr:row>
                    <xdr:rowOff>57150</xdr:rowOff>
                  </from>
                  <to>
                    <xdr:col>25</xdr:col>
                    <xdr:colOff>381000</xdr:colOff>
                    <xdr:row>95</xdr:row>
                    <xdr:rowOff>381000</xdr:rowOff>
                  </to>
                </anchor>
              </controlPr>
            </control>
          </mc:Choice>
        </mc:AlternateContent>
        <mc:AlternateContent xmlns:mc="http://schemas.openxmlformats.org/markup-compatibility/2006">
          <mc:Choice Requires="x14">
            <control shapeId="22608" r:id="rId71" name="Group Box 80">
              <controlPr defaultSize="0" autoFill="0" autoPict="0">
                <anchor moveWithCells="1">
                  <from>
                    <xdr:col>12</xdr:col>
                    <xdr:colOff>504825</xdr:colOff>
                    <xdr:row>96</xdr:row>
                    <xdr:rowOff>47625</xdr:rowOff>
                  </from>
                  <to>
                    <xdr:col>25</xdr:col>
                    <xdr:colOff>381000</xdr:colOff>
                    <xdr:row>96</xdr:row>
                    <xdr:rowOff>381000</xdr:rowOff>
                  </to>
                </anchor>
              </controlPr>
            </control>
          </mc:Choice>
        </mc:AlternateContent>
        <mc:AlternateContent xmlns:mc="http://schemas.openxmlformats.org/markup-compatibility/2006">
          <mc:Choice Requires="x14">
            <control shapeId="22609" r:id="rId72" name="Group Box 81">
              <controlPr defaultSize="0" autoFill="0" autoPict="0">
                <anchor moveWithCells="1">
                  <from>
                    <xdr:col>12</xdr:col>
                    <xdr:colOff>504825</xdr:colOff>
                    <xdr:row>97</xdr:row>
                    <xdr:rowOff>38100</xdr:rowOff>
                  </from>
                  <to>
                    <xdr:col>25</xdr:col>
                    <xdr:colOff>381000</xdr:colOff>
                    <xdr:row>97</xdr:row>
                    <xdr:rowOff>381000</xdr:rowOff>
                  </to>
                </anchor>
              </controlPr>
            </control>
          </mc:Choice>
        </mc:AlternateContent>
        <mc:AlternateContent xmlns:mc="http://schemas.openxmlformats.org/markup-compatibility/2006">
          <mc:Choice Requires="x14">
            <control shapeId="22610" r:id="rId73" name="Group Box 82">
              <controlPr defaultSize="0" autoFill="0" autoPict="0">
                <anchor moveWithCells="1">
                  <from>
                    <xdr:col>12</xdr:col>
                    <xdr:colOff>504825</xdr:colOff>
                    <xdr:row>98</xdr:row>
                    <xdr:rowOff>38100</xdr:rowOff>
                  </from>
                  <to>
                    <xdr:col>25</xdr:col>
                    <xdr:colOff>381000</xdr:colOff>
                    <xdr:row>98</xdr:row>
                    <xdr:rowOff>381000</xdr:rowOff>
                  </to>
                </anchor>
              </controlPr>
            </control>
          </mc:Choice>
        </mc:AlternateContent>
        <mc:AlternateContent xmlns:mc="http://schemas.openxmlformats.org/markup-compatibility/2006">
          <mc:Choice Requires="x14">
            <control shapeId="22613"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22614" r:id="rId75" name="Group Box 86">
              <controlPr defaultSize="0" autoFill="0" autoPict="0">
                <anchor moveWithCells="1">
                  <from>
                    <xdr:col>12</xdr:col>
                    <xdr:colOff>504825</xdr:colOff>
                    <xdr:row>101</xdr:row>
                    <xdr:rowOff>38100</xdr:rowOff>
                  </from>
                  <to>
                    <xdr:col>25</xdr:col>
                    <xdr:colOff>381000</xdr:colOff>
                    <xdr:row>101</xdr:row>
                    <xdr:rowOff>381000</xdr:rowOff>
                  </to>
                </anchor>
              </controlPr>
            </control>
          </mc:Choice>
        </mc:AlternateContent>
        <mc:AlternateContent xmlns:mc="http://schemas.openxmlformats.org/markup-compatibility/2006">
          <mc:Choice Requires="x14">
            <control shapeId="22615" r:id="rId76" name="Group Box 87">
              <controlPr defaultSize="0" autoFill="0" autoPict="0">
                <anchor moveWithCells="1">
                  <from>
                    <xdr:col>12</xdr:col>
                    <xdr:colOff>504825</xdr:colOff>
                    <xdr:row>102</xdr:row>
                    <xdr:rowOff>28575</xdr:rowOff>
                  </from>
                  <to>
                    <xdr:col>25</xdr:col>
                    <xdr:colOff>381000</xdr:colOff>
                    <xdr:row>102</xdr:row>
                    <xdr:rowOff>333375</xdr:rowOff>
                  </to>
                </anchor>
              </controlPr>
            </control>
          </mc:Choice>
        </mc:AlternateContent>
        <mc:AlternateContent xmlns:mc="http://schemas.openxmlformats.org/markup-compatibility/2006">
          <mc:Choice Requires="x14">
            <control shapeId="22616" r:id="rId77" name="Group Box 88">
              <controlPr defaultSize="0" autoFill="0" autoPict="0">
                <anchor moveWithCells="1">
                  <from>
                    <xdr:col>12</xdr:col>
                    <xdr:colOff>504825</xdr:colOff>
                    <xdr:row>103</xdr:row>
                    <xdr:rowOff>38100</xdr:rowOff>
                  </from>
                  <to>
                    <xdr:col>25</xdr:col>
                    <xdr:colOff>381000</xdr:colOff>
                    <xdr:row>103</xdr:row>
                    <xdr:rowOff>381000</xdr:rowOff>
                  </to>
                </anchor>
              </controlPr>
            </control>
          </mc:Choice>
        </mc:AlternateContent>
        <mc:AlternateContent xmlns:mc="http://schemas.openxmlformats.org/markup-compatibility/2006">
          <mc:Choice Requires="x14">
            <control shapeId="22617" r:id="rId78" name="Group Box 89">
              <controlPr defaultSize="0" autoFill="0" autoPict="0">
                <anchor moveWithCells="1">
                  <from>
                    <xdr:col>12</xdr:col>
                    <xdr:colOff>504825</xdr:colOff>
                    <xdr:row>104</xdr:row>
                    <xdr:rowOff>28575</xdr:rowOff>
                  </from>
                  <to>
                    <xdr:col>25</xdr:col>
                    <xdr:colOff>381000</xdr:colOff>
                    <xdr:row>104</xdr:row>
                    <xdr:rowOff>333375</xdr:rowOff>
                  </to>
                </anchor>
              </controlPr>
            </control>
          </mc:Choice>
        </mc:AlternateContent>
        <mc:AlternateContent xmlns:mc="http://schemas.openxmlformats.org/markup-compatibility/2006">
          <mc:Choice Requires="x14">
            <control shapeId="22716" r:id="rId79" name="Option Button 188">
              <controlPr defaultSize="0" autoFill="0" autoLine="0" autoPict="0">
                <anchor moveWithCells="1">
                  <from>
                    <xdr:col>15</xdr:col>
                    <xdr:colOff>57150</xdr:colOff>
                    <xdr:row>8</xdr:row>
                    <xdr:rowOff>47625</xdr:rowOff>
                  </from>
                  <to>
                    <xdr:col>16</xdr:col>
                    <xdr:colOff>457200</xdr:colOff>
                    <xdr:row>8</xdr:row>
                    <xdr:rowOff>285750</xdr:rowOff>
                  </to>
                </anchor>
              </controlPr>
            </control>
          </mc:Choice>
        </mc:AlternateContent>
        <mc:AlternateContent xmlns:mc="http://schemas.openxmlformats.org/markup-compatibility/2006">
          <mc:Choice Requires="x14">
            <control shapeId="22717" r:id="rId80" name="Option Button 189">
              <controlPr defaultSize="0" autoFill="0" autoLine="0" autoPict="0">
                <anchor moveWithCells="1">
                  <from>
                    <xdr:col>17</xdr:col>
                    <xdr:colOff>76200</xdr:colOff>
                    <xdr:row>8</xdr:row>
                    <xdr:rowOff>47625</xdr:rowOff>
                  </from>
                  <to>
                    <xdr:col>18</xdr:col>
                    <xdr:colOff>571500</xdr:colOff>
                    <xdr:row>8</xdr:row>
                    <xdr:rowOff>285750</xdr:rowOff>
                  </to>
                </anchor>
              </controlPr>
            </control>
          </mc:Choice>
        </mc:AlternateContent>
        <mc:AlternateContent xmlns:mc="http://schemas.openxmlformats.org/markup-compatibility/2006">
          <mc:Choice Requires="x14">
            <control shapeId="22718" r:id="rId81" name="Option Button 190">
              <controlPr defaultSize="0" autoFill="0" autoLine="0" autoPict="0">
                <anchor moveWithCells="1">
                  <from>
                    <xdr:col>24</xdr:col>
                    <xdr:colOff>57150</xdr:colOff>
                    <xdr:row>8</xdr:row>
                    <xdr:rowOff>47625</xdr:rowOff>
                  </from>
                  <to>
                    <xdr:col>25</xdr:col>
                    <xdr:colOff>476250</xdr:colOff>
                    <xdr:row>8</xdr:row>
                    <xdr:rowOff>285750</xdr:rowOff>
                  </to>
                </anchor>
              </controlPr>
            </control>
          </mc:Choice>
        </mc:AlternateContent>
        <mc:AlternateContent xmlns:mc="http://schemas.openxmlformats.org/markup-compatibility/2006">
          <mc:Choice Requires="x14">
            <control shapeId="22719" r:id="rId82" name="Option Button 191">
              <controlPr defaultSize="0" autoFill="0" autoLine="0" autoPict="0">
                <anchor moveWithCells="1">
                  <from>
                    <xdr:col>26</xdr:col>
                    <xdr:colOff>66675</xdr:colOff>
                    <xdr:row>8</xdr:row>
                    <xdr:rowOff>47625</xdr:rowOff>
                  </from>
                  <to>
                    <xdr:col>27</xdr:col>
                    <xdr:colOff>571500</xdr:colOff>
                    <xdr:row>8</xdr:row>
                    <xdr:rowOff>285750</xdr:rowOff>
                  </to>
                </anchor>
              </controlPr>
            </control>
          </mc:Choice>
        </mc:AlternateContent>
        <mc:AlternateContent xmlns:mc="http://schemas.openxmlformats.org/markup-compatibility/2006">
          <mc:Choice Requires="x14">
            <control shapeId="22720" r:id="rId83" name="Option Button 192">
              <controlPr defaultSize="0" autoFill="0" autoLine="0" autoPict="0">
                <anchor moveWithCells="1">
                  <from>
                    <xdr:col>28</xdr:col>
                    <xdr:colOff>76200</xdr:colOff>
                    <xdr:row>8</xdr:row>
                    <xdr:rowOff>47625</xdr:rowOff>
                  </from>
                  <to>
                    <xdr:col>29</xdr:col>
                    <xdr:colOff>361950</xdr:colOff>
                    <xdr:row>8</xdr:row>
                    <xdr:rowOff>285750</xdr:rowOff>
                  </to>
                </anchor>
              </controlPr>
            </control>
          </mc:Choice>
        </mc:AlternateContent>
        <mc:AlternateContent xmlns:mc="http://schemas.openxmlformats.org/markup-compatibility/2006">
          <mc:Choice Requires="x14">
            <control shapeId="22721" r:id="rId84" name="Group Box 193">
              <controlPr defaultSize="0" autoFill="0" autoPict="0">
                <anchor moveWithCells="1">
                  <from>
                    <xdr:col>14</xdr:col>
                    <xdr:colOff>390525</xdr:colOff>
                    <xdr:row>7</xdr:row>
                    <xdr:rowOff>257175</xdr:rowOff>
                  </from>
                  <to>
                    <xdr:col>21</xdr:col>
                    <xdr:colOff>47625</xdr:colOff>
                    <xdr:row>9</xdr:row>
                    <xdr:rowOff>95250</xdr:rowOff>
                  </to>
                </anchor>
              </controlPr>
            </control>
          </mc:Choice>
        </mc:AlternateContent>
        <mc:AlternateContent xmlns:mc="http://schemas.openxmlformats.org/markup-compatibility/2006">
          <mc:Choice Requires="x14">
            <control shapeId="22722" r:id="rId85" name="Group Box 194">
              <controlPr defaultSize="0" autoFill="0" autoPict="0">
                <anchor moveWithCells="1">
                  <from>
                    <xdr:col>23</xdr:col>
                    <xdr:colOff>466725</xdr:colOff>
                    <xdr:row>7</xdr:row>
                    <xdr:rowOff>266700</xdr:rowOff>
                  </from>
                  <to>
                    <xdr:col>29</xdr:col>
                    <xdr:colOff>476250</xdr:colOff>
                    <xdr:row>9</xdr:row>
                    <xdr:rowOff>95250</xdr:rowOff>
                  </to>
                </anchor>
              </controlPr>
            </control>
          </mc:Choice>
        </mc:AlternateContent>
        <mc:AlternateContent xmlns:mc="http://schemas.openxmlformats.org/markup-compatibility/2006">
          <mc:Choice Requires="x14">
            <control shapeId="23177" r:id="rId86" name="Option Button 649">
              <controlPr defaultSize="0" autoFill="0" autoLine="0" autoPict="0">
                <anchor moveWithCells="1">
                  <from>
                    <xdr:col>13</xdr:col>
                    <xdr:colOff>371475</xdr:colOff>
                    <xdr:row>99</xdr:row>
                    <xdr:rowOff>66675</xdr:rowOff>
                  </from>
                  <to>
                    <xdr:col>15</xdr:col>
                    <xdr:colOff>266700</xdr:colOff>
                    <xdr:row>99</xdr:row>
                    <xdr:rowOff>285750</xdr:rowOff>
                  </to>
                </anchor>
              </controlPr>
            </control>
          </mc:Choice>
        </mc:AlternateContent>
        <mc:AlternateContent xmlns:mc="http://schemas.openxmlformats.org/markup-compatibility/2006">
          <mc:Choice Requires="x14">
            <control shapeId="23178" r:id="rId87" name="Option Button 650">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23179" r:id="rId88" name="Option Button 651">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23180" r:id="rId89" name="Group Box 652">
              <controlPr defaultSize="0" autoFill="0" autoPict="0">
                <anchor moveWithCells="1">
                  <from>
                    <xdr:col>12</xdr:col>
                    <xdr:colOff>504825</xdr:colOff>
                    <xdr:row>99</xdr:row>
                    <xdr:rowOff>38100</xdr:rowOff>
                  </from>
                  <to>
                    <xdr:col>25</xdr:col>
                    <xdr:colOff>381000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B3AFD8A-917E-4FF6-8AB7-B65E0A23C6A3}">
          <x14:formula1>
            <xm:f>産業分類!$B$2:$B$21</xm:f>
          </x14:formula1>
          <xm:sqref>P12:U12</xm:sqref>
        </x14:dataValidation>
        <x14:dataValidation type="list" allowBlank="1" showInputMessage="1" showErrorMessage="1" xr:uid="{1BABD455-61A8-469C-84EA-36A2F0D14D7A}">
          <x14:formula1>
            <xm:f>'プルダウンリスト（エネルギー）'!$A:$A</xm:f>
          </x14:formula1>
          <xm:sqref>E28:I28</xm:sqref>
        </x14:dataValidation>
        <x14:dataValidation type="list" allowBlank="1" showInputMessage="1" showErrorMessage="1" xr:uid="{119EE630-C2BB-4B87-BB6C-5B3EFB81F831}">
          <x14:formula1>
            <xm:f>'プルダウンリスト（エネルギー）'!$C:$C</xm:f>
          </x14:formula1>
          <xm:sqref>E34:I34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07BD-B10D-4147-80F8-BE607E8A374E}">
  <sheetPr codeName="Sheet1">
    <tabColor rgb="FFBA8CDC"/>
    <pageSetUpPr fitToPage="1"/>
  </sheetPr>
  <dimension ref="A1:CG127"/>
  <sheetViews>
    <sheetView showGridLines="0" zoomScale="80" zoomScaleNormal="80" zoomScaleSheetLayoutView="55" zoomScalePageLayoutView="70" workbookViewId="0">
      <pane ySplit="1" topLeftCell="A2" activePane="bottomLeft" state="frozen"/>
      <selection activeCell="AG85" sqref="AG85:AG105"/>
      <selection pane="bottomLeft" activeCell="H4" sqref="H4"/>
    </sheetView>
  </sheetViews>
  <sheetFormatPr defaultColWidth="8.625" defaultRowHeight="18.75" outlineLevelCol="1"/>
  <cols>
    <col min="1" max="1" width="2.125" style="2" customWidth="1"/>
    <col min="2" max="2" width="1" style="2" customWidth="1"/>
    <col min="3" max="3" width="5.875" style="2" customWidth="1"/>
    <col min="4" max="4" width="1.125" style="2" customWidth="1"/>
    <col min="5" max="5" width="8.5" style="2" customWidth="1"/>
    <col min="6" max="6" width="6.5" style="2" customWidth="1"/>
    <col min="7" max="7" width="5.25" style="2" customWidth="1"/>
    <col min="8" max="8" width="11" style="2" customWidth="1"/>
    <col min="9" max="22" width="8.5" style="2" customWidth="1"/>
    <col min="23" max="23" width="8.625" style="2" customWidth="1"/>
    <col min="24" max="24" width="12.625" style="2" customWidth="1"/>
    <col min="25" max="30" width="8.5" style="2" customWidth="1"/>
    <col min="31" max="32" width="2" style="2" customWidth="1"/>
    <col min="33" max="34" width="8.625" style="2" hidden="1" customWidth="1" outlineLevel="1"/>
    <col min="35" max="35" width="12.875" style="2" hidden="1" customWidth="1" outlineLevel="1"/>
    <col min="36" max="36" width="13.75" style="2" hidden="1" customWidth="1" outlineLevel="1"/>
    <col min="37" max="37" width="8.625" style="2" hidden="1" customWidth="1" outlineLevel="1"/>
    <col min="38" max="38" width="12.875" style="2" hidden="1" customWidth="1" outlineLevel="1"/>
    <col min="39" max="39" width="13.375" style="2" hidden="1" customWidth="1" outlineLevel="1"/>
    <col min="40" max="40" width="8.625" style="2" hidden="1" customWidth="1" outlineLevel="1"/>
    <col min="41" max="41" width="9.875" style="2" hidden="1" customWidth="1" outlineLevel="1"/>
    <col min="42" max="42" width="8.625" style="2" hidden="1" customWidth="1" outlineLevel="1"/>
    <col min="43" max="43" width="7.875" style="2" hidden="1" customWidth="1" outlineLevel="1"/>
    <col min="44" max="44" width="9.625" style="2" hidden="1" customWidth="1" outlineLevel="1"/>
    <col min="45" max="45" width="14.625" style="2" hidden="1" customWidth="1" outlineLevel="1"/>
    <col min="46" max="46" width="8.625" style="2" hidden="1" customWidth="1" outlineLevel="1"/>
    <col min="47" max="47" width="21.125" style="2" hidden="1" customWidth="1" outlineLevel="1"/>
    <col min="48" max="60" width="8.625" style="2" hidden="1" customWidth="1" outlineLevel="1"/>
    <col min="61" max="61" width="15.375" style="2" hidden="1" customWidth="1" outlineLevel="1"/>
    <col min="62" max="62" width="8.625" style="2" hidden="1" customWidth="1" outlineLevel="1"/>
    <col min="63" max="63" width="15.625" style="2" hidden="1" customWidth="1" outlineLevel="1"/>
    <col min="64" max="65" width="8.625" style="2" hidden="1" customWidth="1" outlineLevel="1"/>
    <col min="66" max="66" width="4.75" style="2" hidden="1" customWidth="1" outlineLevel="1"/>
    <col min="67" max="67" width="2.75" style="2" customWidth="1" collapsed="1"/>
    <col min="68" max="68" width="7" style="2" customWidth="1"/>
    <col min="69" max="69" width="1.125" style="2" customWidth="1"/>
    <col min="70" max="70" width="25.625" style="2" customWidth="1"/>
    <col min="71" max="71" width="8.625" style="2"/>
    <col min="72" max="83" width="10.375" style="2" customWidth="1"/>
    <col min="84" max="84" width="14" style="2" customWidth="1"/>
    <col min="85" max="16384" width="8.625" style="2"/>
  </cols>
  <sheetData>
    <row r="1" spans="1:85" ht="48" customHeight="1">
      <c r="A1" s="88" t="str">
        <f>基本設定シート!C8+1&amp;"年度提出用"</f>
        <v>2029年度提出用</v>
      </c>
      <c r="B1" s="88"/>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7"/>
      <c r="AE1" s="87" t="str">
        <f ca="1">IF(AJ6=AJ5,"今年度使用するシートです。",IF(AJ6&gt;AJ5,"本シートは作成済みです。新しい様式をご使用ください。",""))</f>
        <v/>
      </c>
      <c r="AF1" s="18"/>
      <c r="AG1" s="19" t="s">
        <v>4281</v>
      </c>
      <c r="AH1" s="20"/>
      <c r="AI1" s="20"/>
      <c r="AJ1" s="20"/>
      <c r="AK1" s="20"/>
      <c r="AL1" s="20"/>
      <c r="AM1" s="20"/>
      <c r="AN1" s="20"/>
      <c r="AO1" s="20"/>
      <c r="AP1" s="20"/>
      <c r="AQ1" s="20"/>
      <c r="AR1" s="20"/>
      <c r="AS1" s="19"/>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row>
    <row r="2" spans="1:85" s="3" customFormat="1" ht="35.450000000000003" customHeight="1">
      <c r="A2" s="23" t="s">
        <v>0</v>
      </c>
      <c r="B2" s="2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row>
    <row r="3" spans="1:85" ht="14.4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27" customHeight="1">
      <c r="A4" s="13"/>
      <c r="B4" s="13"/>
      <c r="C4" s="459" t="s">
        <v>1</v>
      </c>
      <c r="D4" s="459"/>
      <c r="E4" s="459"/>
      <c r="F4" s="14">
        <f>基本設定シート!C8+1</f>
        <v>2029</v>
      </c>
      <c r="G4" s="14" t="s">
        <v>31</v>
      </c>
      <c r="H4" s="4"/>
      <c r="I4" s="14" t="s">
        <v>32</v>
      </c>
      <c r="J4" s="4"/>
      <c r="K4" s="14" t="s">
        <v>33</v>
      </c>
      <c r="L4" s="13"/>
      <c r="M4" s="13"/>
      <c r="N4" s="13"/>
      <c r="O4" s="15"/>
      <c r="P4" s="13"/>
      <c r="Q4" s="13"/>
      <c r="R4" s="13"/>
      <c r="S4" s="15"/>
      <c r="T4" s="13"/>
      <c r="U4" s="13"/>
      <c r="V4" s="13"/>
      <c r="W4" s="13"/>
      <c r="X4" s="13"/>
      <c r="Y4" s="13"/>
      <c r="Z4" s="13"/>
      <c r="AA4" s="13"/>
      <c r="AB4" s="13"/>
      <c r="AC4" s="13"/>
      <c r="AD4" s="13"/>
      <c r="AE4" s="13"/>
      <c r="AF4" s="20"/>
      <c r="AG4" s="20"/>
      <c r="AH4" s="20"/>
      <c r="AI4" s="24" t="s">
        <v>4131</v>
      </c>
      <c r="AJ4" s="463">
        <f ca="1">TODAY()</f>
        <v>46111</v>
      </c>
      <c r="AK4" s="464"/>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row>
    <row r="5" spans="1:85" ht="18.9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20"/>
      <c r="AG5" s="20"/>
      <c r="AH5" s="20"/>
      <c r="AI5" s="24" t="s">
        <v>4132</v>
      </c>
      <c r="AJ5" s="25">
        <f>基本設定シート!C8+1</f>
        <v>2029</v>
      </c>
      <c r="AK5" s="26" t="s">
        <v>41</v>
      </c>
      <c r="AL5" s="20"/>
      <c r="AM5" s="20"/>
      <c r="AN5" s="20"/>
      <c r="AO5" s="20"/>
      <c r="AP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row>
    <row r="6" spans="1:85" ht="30.6" customHeight="1">
      <c r="A6" s="13"/>
      <c r="B6" s="384" t="s">
        <v>48</v>
      </c>
      <c r="C6" s="384"/>
      <c r="D6" s="384"/>
      <c r="E6" s="384"/>
      <c r="F6" s="16"/>
      <c r="G6" s="16"/>
      <c r="H6" s="13"/>
      <c r="I6" s="13"/>
      <c r="J6" s="13"/>
      <c r="K6" s="13"/>
      <c r="L6" s="13"/>
      <c r="M6" s="13"/>
      <c r="N6" s="384" t="s">
        <v>46</v>
      </c>
      <c r="O6" s="384"/>
      <c r="P6" s="16"/>
      <c r="Q6" s="16"/>
      <c r="R6" s="13"/>
      <c r="S6" s="13"/>
      <c r="T6" s="13"/>
      <c r="U6" s="13"/>
      <c r="V6" s="13"/>
      <c r="W6" s="384" t="s">
        <v>47</v>
      </c>
      <c r="X6" s="384"/>
      <c r="Y6" s="16"/>
      <c r="Z6" s="16"/>
      <c r="AA6" s="13"/>
      <c r="AB6" s="13"/>
      <c r="AC6" s="13"/>
      <c r="AD6" s="13"/>
      <c r="AE6" s="13"/>
      <c r="AF6" s="20"/>
      <c r="AG6" s="20"/>
      <c r="AH6" s="20"/>
      <c r="AI6" s="24" t="s">
        <v>4133</v>
      </c>
      <c r="AJ6" s="25">
        <f ca="1">YEAR(EOMONTH(AJ4,-3))</f>
        <v>2025</v>
      </c>
      <c r="AK6" s="26" t="s">
        <v>41</v>
      </c>
      <c r="AL6" s="20"/>
      <c r="AM6" s="20"/>
      <c r="AN6" s="20"/>
      <c r="AO6" s="20"/>
      <c r="AP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4.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20"/>
      <c r="AG7" s="20"/>
      <c r="AH7" s="20"/>
      <c r="AI7" s="20"/>
      <c r="AJ7" s="20"/>
      <c r="AK7" s="20"/>
      <c r="AL7" s="20"/>
      <c r="AM7" s="20"/>
      <c r="AN7" s="20"/>
      <c r="AO7" s="20"/>
      <c r="AP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row>
    <row r="8" spans="1:85" ht="27.95" customHeight="1" thickBot="1">
      <c r="A8" s="13"/>
      <c r="B8" s="385" t="s">
        <v>4120</v>
      </c>
      <c r="C8" s="385"/>
      <c r="D8" s="385"/>
      <c r="E8" s="385"/>
      <c r="F8" s="552" t="str">
        <f>IF('入力シート（2028年度提出用）'!F8="","",'入力シート（2028年度提出用）'!F8)</f>
        <v/>
      </c>
      <c r="G8" s="437"/>
      <c r="H8" s="437"/>
      <c r="I8" s="437"/>
      <c r="J8" s="437"/>
      <c r="K8" s="437"/>
      <c r="L8" s="438"/>
      <c r="M8" s="13"/>
      <c r="N8" s="436" t="s">
        <v>4123</v>
      </c>
      <c r="O8" s="436"/>
      <c r="P8" s="437" t="str">
        <f>IF('入力シート（2028年度提出用）'!P8="","",'入力シート（2028年度提出用）'!P8)</f>
        <v/>
      </c>
      <c r="Q8" s="437"/>
      <c r="R8" s="437"/>
      <c r="S8" s="437"/>
      <c r="T8" s="437"/>
      <c r="U8" s="438"/>
      <c r="V8" s="13"/>
      <c r="W8" s="439" t="s">
        <v>4125</v>
      </c>
      <c r="X8" s="394"/>
      <c r="Y8" s="437" t="str">
        <f>IF('入力シート（2028年度提出用）'!Y8="","",'入力シート（2028年度提出用）'!Y8)</f>
        <v/>
      </c>
      <c r="Z8" s="437"/>
      <c r="AA8" s="437"/>
      <c r="AB8" s="437"/>
      <c r="AC8" s="437"/>
      <c r="AD8" s="438"/>
      <c r="AE8" s="29"/>
      <c r="AF8" s="30"/>
      <c r="AG8" s="20"/>
      <c r="AH8" s="20"/>
      <c r="AI8" s="460"/>
      <c r="AJ8" s="460"/>
      <c r="AK8" s="452"/>
      <c r="AL8" s="452"/>
      <c r="AM8" s="452"/>
      <c r="AN8" s="452"/>
      <c r="AO8" s="452"/>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row>
    <row r="9" spans="1:85" ht="27.95" customHeight="1" thickBot="1">
      <c r="A9" s="13"/>
      <c r="B9" s="386" t="s">
        <v>4121</v>
      </c>
      <c r="C9" s="387"/>
      <c r="D9" s="387"/>
      <c r="E9" s="388"/>
      <c r="F9" s="466" t="s">
        <v>4228</v>
      </c>
      <c r="G9" s="467"/>
      <c r="H9" s="94" t="str">
        <f>IF('入力シート（2028年度提出用）'!H9="","",'入力シート（2028年度提出用）'!H9)</f>
        <v/>
      </c>
      <c r="I9" s="34" t="s">
        <v>27</v>
      </c>
      <c r="J9" s="95" t="str">
        <f>IF('入力シート（2028年度提出用）'!J9="","",'入力シート（2028年度提出用）'!J9)</f>
        <v/>
      </c>
      <c r="K9" s="1"/>
      <c r="L9" s="1"/>
      <c r="M9" s="13"/>
      <c r="N9" s="385" t="s">
        <v>4124</v>
      </c>
      <c r="O9" s="385"/>
      <c r="P9" s="456" t="s">
        <v>4230</v>
      </c>
      <c r="Q9" s="457"/>
      <c r="R9" s="457" t="s">
        <v>4231</v>
      </c>
      <c r="S9" s="457"/>
      <c r="T9" s="457"/>
      <c r="U9" s="458"/>
      <c r="V9" s="13"/>
      <c r="W9" s="386" t="s">
        <v>4126</v>
      </c>
      <c r="X9" s="388"/>
      <c r="Y9" s="456" t="s">
        <v>4230</v>
      </c>
      <c r="Z9" s="457"/>
      <c r="AA9" s="553" t="s">
        <v>4229</v>
      </c>
      <c r="AB9" s="553"/>
      <c r="AC9" s="457" t="s">
        <v>4226</v>
      </c>
      <c r="AD9" s="458"/>
      <c r="AE9" s="13"/>
      <c r="AF9" s="20"/>
      <c r="AG9" s="7">
        <f>'入力シート（2028年度提出用）'!AG9</f>
        <v>0</v>
      </c>
      <c r="AH9" s="7">
        <f>'入力シート（2028年度提出用）'!AH9</f>
        <v>0</v>
      </c>
      <c r="AI9" s="460"/>
      <c r="AJ9" s="460"/>
      <c r="AK9" s="452"/>
      <c r="AL9" s="452"/>
      <c r="AM9" s="452"/>
      <c r="AN9" s="452"/>
      <c r="AO9" s="452"/>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row>
    <row r="10" spans="1:85" ht="27.95" customHeight="1">
      <c r="A10" s="13"/>
      <c r="B10" s="446"/>
      <c r="C10" s="465"/>
      <c r="D10" s="465"/>
      <c r="E10" s="447"/>
      <c r="F10" s="437" t="str">
        <f>IF('入力シート（2028年度提出用）'!F10="","",'入力シート（2028年度提出用）'!F10)</f>
        <v/>
      </c>
      <c r="G10" s="437"/>
      <c r="H10" s="437"/>
      <c r="I10" s="437"/>
      <c r="J10" s="437"/>
      <c r="K10" s="437"/>
      <c r="L10" s="438"/>
      <c r="M10" s="13"/>
      <c r="N10" s="431"/>
      <c r="O10" s="431"/>
      <c r="P10" s="29" t="s">
        <v>34</v>
      </c>
      <c r="Q10" s="99" t="str">
        <f>IF(AG9='入力シート（2028年度提出用）'!AG9,'入力シート（2028年度提出用）'!Q10,IF(AG9=1,H9,""))</f>
        <v/>
      </c>
      <c r="R10" s="98" t="s">
        <v>27</v>
      </c>
      <c r="S10" s="100" t="str">
        <f>IF(AG9='入力シート（2028年度提出用）'!AG9,'入力シート（2028年度提出用）'!S10,IF(AG9=1,J9,""))</f>
        <v/>
      </c>
      <c r="T10" s="13"/>
      <c r="U10" s="13"/>
      <c r="V10" s="13"/>
      <c r="W10" s="461"/>
      <c r="X10" s="462"/>
      <c r="Y10" s="29" t="s">
        <v>34</v>
      </c>
      <c r="Z10" s="99" t="str">
        <f>IF(AH9='入力シート（2028年度提出用）'!AH9,'入力シート（2028年度提出用）'!Z10,IF(AH9=1,H9,IF(AH9=2,Q10,"")))</f>
        <v/>
      </c>
      <c r="AA10" s="98" t="s">
        <v>27</v>
      </c>
      <c r="AB10" s="100" t="str">
        <f>IF(AH9='入力シート（2028年度提出用）'!AH9,'入力シート（2028年度提出用）'!AB10,IF(AH9=1,J9,IF(AH9=2,S10,"")))</f>
        <v/>
      </c>
      <c r="AC10" s="13"/>
      <c r="AD10" s="13"/>
      <c r="AE10" s="29"/>
      <c r="AF10" s="30"/>
      <c r="AG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row>
    <row r="11" spans="1:85" ht="27.95" customHeight="1">
      <c r="A11" s="13"/>
      <c r="B11" s="389" t="s">
        <v>4122</v>
      </c>
      <c r="C11" s="389"/>
      <c r="D11" s="389"/>
      <c r="E11" s="389"/>
      <c r="F11" s="552" t="str">
        <f>IF('入力シート（2028年度提出用）'!F11="","",'入力シート（2028年度提出用）'!F11)</f>
        <v/>
      </c>
      <c r="G11" s="437"/>
      <c r="H11" s="437"/>
      <c r="I11" s="437"/>
      <c r="J11" s="437"/>
      <c r="K11" s="437"/>
      <c r="L11" s="438"/>
      <c r="M11" s="13"/>
      <c r="N11" s="446"/>
      <c r="O11" s="447"/>
      <c r="P11" s="437" t="str">
        <f>IF(AG9='入力シート（2028年度提出用）'!AG9,'入力シート（2028年度提出用）'!P11,IF(AG9=1,F10,""))</f>
        <v/>
      </c>
      <c r="Q11" s="437"/>
      <c r="R11" s="437"/>
      <c r="S11" s="437"/>
      <c r="T11" s="437"/>
      <c r="U11" s="438"/>
      <c r="V11" s="13"/>
      <c r="W11" s="446"/>
      <c r="X11" s="447"/>
      <c r="Y11" s="437" t="str">
        <f>IF(AH9='入力シート（2028年度提出用）'!AH9,'入力シート（2028年度提出用）'!Y11,IF(AH9=1,F10,IF(AH9=2,P11,"")))</f>
        <v/>
      </c>
      <c r="Z11" s="437"/>
      <c r="AA11" s="437"/>
      <c r="AB11" s="437"/>
      <c r="AC11" s="437"/>
      <c r="AD11" s="438"/>
      <c r="AE11" s="29"/>
      <c r="AF11" s="30"/>
      <c r="AG11" s="20"/>
    </row>
    <row r="12" spans="1:85" ht="27.95" customHeight="1">
      <c r="A12" s="13"/>
      <c r="B12" s="13"/>
      <c r="C12" s="13"/>
      <c r="D12" s="13"/>
      <c r="E12" s="15"/>
      <c r="F12" s="13"/>
      <c r="G12" s="13"/>
      <c r="H12" s="13"/>
      <c r="I12" s="13"/>
      <c r="J12" s="13"/>
      <c r="K12" s="13"/>
      <c r="L12" s="13"/>
      <c r="M12" s="13"/>
      <c r="N12" s="436" t="s">
        <v>4235</v>
      </c>
      <c r="O12" s="436"/>
      <c r="P12" s="572" t="str">
        <f>IF('入力シート（2028年度提出用）'!P12="","",'入力シート（2028年度提出用）'!P12)</f>
        <v/>
      </c>
      <c r="Q12" s="572"/>
      <c r="R12" s="572"/>
      <c r="S12" s="572"/>
      <c r="T12" s="572"/>
      <c r="U12" s="572"/>
      <c r="V12" s="13"/>
      <c r="W12" s="439" t="s">
        <v>4127</v>
      </c>
      <c r="X12" s="394"/>
      <c r="Y12" s="552" t="str">
        <f>IF('入力シート（2028年度提出用）'!Y12="","",'入力シート（2028年度提出用）'!Y12)</f>
        <v/>
      </c>
      <c r="Z12" s="437"/>
      <c r="AA12" s="437"/>
      <c r="AB12" s="437"/>
      <c r="AC12" s="437"/>
      <c r="AD12" s="438"/>
      <c r="AE12" s="31"/>
      <c r="AF12" s="32"/>
      <c r="AG12" s="20"/>
    </row>
    <row r="13" spans="1:85" ht="27.95" customHeight="1">
      <c r="A13" s="13"/>
      <c r="B13" s="13"/>
      <c r="C13" s="13"/>
      <c r="D13" s="13"/>
      <c r="E13" s="13"/>
      <c r="F13" s="13"/>
      <c r="G13" s="13"/>
      <c r="H13" s="13"/>
      <c r="I13" s="13"/>
      <c r="J13" s="13"/>
      <c r="K13" s="13"/>
      <c r="L13" s="13"/>
      <c r="M13" s="13"/>
      <c r="N13" s="13"/>
      <c r="O13" s="13"/>
      <c r="P13" s="13"/>
      <c r="Q13" s="13"/>
      <c r="R13" s="13"/>
      <c r="S13" s="13"/>
      <c r="T13" s="13"/>
      <c r="U13" s="13"/>
      <c r="V13" s="13"/>
      <c r="W13" s="439" t="s">
        <v>4128</v>
      </c>
      <c r="X13" s="394"/>
      <c r="Y13" s="549" t="str">
        <f>IF('入力シート（2028年度提出用）'!Y13="","",'入力シート（2028年度提出用）'!Y13)</f>
        <v/>
      </c>
      <c r="Z13" s="550"/>
      <c r="AA13" s="550"/>
      <c r="AB13" s="550"/>
      <c r="AC13" s="550"/>
      <c r="AD13" s="551"/>
      <c r="AE13" s="29"/>
      <c r="AF13" s="30"/>
      <c r="AG13" s="20"/>
    </row>
    <row r="14" spans="1:85" ht="27" customHeight="1">
      <c r="A14" s="13"/>
      <c r="B14" s="13"/>
      <c r="C14" s="13"/>
      <c r="D14" s="13"/>
      <c r="E14" s="13"/>
      <c r="F14" s="13"/>
      <c r="G14" s="13"/>
      <c r="H14" s="13"/>
      <c r="I14" s="13"/>
      <c r="J14" s="13"/>
      <c r="K14" s="13"/>
      <c r="L14" s="13"/>
      <c r="M14" s="13"/>
      <c r="N14" s="13"/>
      <c r="O14" s="13"/>
      <c r="P14" s="13"/>
      <c r="Q14" s="13"/>
      <c r="R14" s="13"/>
      <c r="S14" s="13"/>
      <c r="T14" s="13"/>
      <c r="U14" s="13"/>
      <c r="V14" s="13"/>
      <c r="W14" s="439" t="s">
        <v>4129</v>
      </c>
      <c r="X14" s="394"/>
      <c r="Y14" s="552" t="str">
        <f>IF('入力シート（2028年度提出用）'!Y14="","",'入力シート（2028年度提出用）'!Y14)</f>
        <v/>
      </c>
      <c r="Z14" s="437"/>
      <c r="AA14" s="437"/>
      <c r="AB14" s="437"/>
      <c r="AC14" s="437"/>
      <c r="AD14" s="438"/>
      <c r="AE14" s="13"/>
      <c r="AF14" s="20"/>
      <c r="AG14" s="20"/>
    </row>
    <row r="15" spans="1:85" ht="12.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20"/>
      <c r="AG15" s="20"/>
      <c r="AH15" s="20"/>
      <c r="AI15" s="20"/>
      <c r="AJ15" s="20"/>
      <c r="AK15" s="20"/>
      <c r="AL15" s="20"/>
      <c r="AM15" s="20"/>
      <c r="AN15" s="20"/>
      <c r="AO15" s="20"/>
    </row>
    <row r="16" spans="1:85" s="3" customFormat="1" ht="35.450000000000003" customHeight="1">
      <c r="A16" s="23" t="str">
        <f>"◆エネルギー使用実績等（"&amp;基本設定シート!C8&amp;"年度実績）"</f>
        <v>◆エネルギー使用実績等（2028年度実績）</v>
      </c>
      <c r="B16" s="23"/>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21"/>
      <c r="AM16" s="21"/>
      <c r="AN16" s="21"/>
      <c r="AO16" s="21"/>
    </row>
    <row r="17" spans="1:85" ht="4.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20"/>
      <c r="AM17" s="20"/>
      <c r="AN17" s="20"/>
      <c r="AO17" s="20"/>
      <c r="AV17" s="20"/>
      <c r="AW17" s="20"/>
      <c r="AX17" s="20"/>
      <c r="AY17" s="20"/>
      <c r="AZ17" s="20"/>
      <c r="BA17" s="20"/>
      <c r="BB17" s="20"/>
      <c r="BC17" s="20"/>
      <c r="BD17" s="20"/>
      <c r="BE17" s="20"/>
      <c r="BF17" s="20"/>
      <c r="BG17" s="20"/>
      <c r="BH17" s="20"/>
      <c r="BI17" s="20"/>
      <c r="BJ17" s="20"/>
      <c r="BK17" s="20"/>
      <c r="BL17" s="20"/>
      <c r="BM17" s="20"/>
      <c r="BN17" s="20"/>
      <c r="BO17" s="13"/>
      <c r="BP17" s="13"/>
      <c r="BQ17" s="13"/>
      <c r="BR17" s="13"/>
      <c r="BS17" s="13"/>
      <c r="BT17" s="13"/>
      <c r="BU17" s="13"/>
      <c r="BV17" s="13"/>
      <c r="BW17" s="13"/>
      <c r="BX17" s="13"/>
      <c r="BY17" s="13"/>
      <c r="BZ17" s="13"/>
      <c r="CA17" s="13"/>
      <c r="CB17" s="13"/>
      <c r="CC17" s="13"/>
      <c r="CD17" s="13"/>
      <c r="CE17" s="13"/>
      <c r="CF17" s="13"/>
      <c r="CG17" s="8"/>
    </row>
    <row r="18" spans="1:85" ht="30" customHeight="1">
      <c r="A18" s="13"/>
      <c r="B18" s="384" t="s">
        <v>2</v>
      </c>
      <c r="C18" s="384"/>
      <c r="D18" s="384"/>
      <c r="E18" s="384"/>
      <c r="F18" s="384"/>
      <c r="G18" s="384"/>
      <c r="H18" s="13"/>
      <c r="I18" s="13"/>
      <c r="J18" s="13"/>
      <c r="K18" s="13"/>
      <c r="L18" s="13"/>
      <c r="M18" s="13"/>
      <c r="N18" s="13"/>
      <c r="O18" s="13"/>
      <c r="P18" s="13"/>
      <c r="Q18" s="13"/>
      <c r="R18" s="13"/>
      <c r="S18" s="13"/>
      <c r="T18" s="13"/>
      <c r="U18" s="13"/>
      <c r="V18" s="13"/>
      <c r="W18" s="13"/>
      <c r="X18" s="13"/>
      <c r="Y18" s="13"/>
      <c r="Z18" s="13"/>
      <c r="AA18" s="478" t="str">
        <f>HYPERLINK("#CG17","【任意】使用料金表はこちら→")</f>
        <v>【任意】使用料金表はこちら→</v>
      </c>
      <c r="AB18" s="479"/>
      <c r="AC18" s="479"/>
      <c r="AD18" s="479"/>
      <c r="AE18" s="13"/>
      <c r="AF18" s="20"/>
      <c r="AM18" s="20"/>
      <c r="AN18" s="20"/>
      <c r="AO18" s="20"/>
      <c r="AV18" s="20"/>
      <c r="AW18" s="20"/>
      <c r="AX18" s="20"/>
      <c r="AY18" s="20"/>
      <c r="AZ18" s="20"/>
      <c r="BA18" s="20"/>
      <c r="BB18" s="20"/>
      <c r="BC18" s="20"/>
      <c r="BD18" s="20"/>
      <c r="BE18" s="20"/>
      <c r="BF18" s="20"/>
      <c r="BG18" s="20"/>
      <c r="BH18" s="20"/>
      <c r="BI18" s="20"/>
      <c r="BJ18" s="20"/>
      <c r="BK18" s="20"/>
      <c r="BL18" s="20"/>
      <c r="BM18" s="20"/>
      <c r="BN18" s="20"/>
      <c r="BO18" s="13"/>
      <c r="BP18" s="425" t="s">
        <v>4112</v>
      </c>
      <c r="BQ18" s="426"/>
      <c r="BR18" s="427"/>
      <c r="BS18" s="1"/>
      <c r="BT18" s="40"/>
      <c r="BU18" s="40"/>
      <c r="BV18" s="13"/>
      <c r="BW18" s="13"/>
      <c r="BX18" s="13"/>
      <c r="BY18" s="13"/>
      <c r="BZ18" s="13"/>
      <c r="CA18" s="13"/>
      <c r="CB18" s="13"/>
      <c r="CC18" s="13"/>
      <c r="CD18" s="13"/>
      <c r="CE18" s="13"/>
      <c r="CF18" s="13"/>
      <c r="CG18" s="13"/>
    </row>
    <row r="19" spans="1:85"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0"/>
      <c r="AG19" s="20"/>
      <c r="AH19" s="20"/>
      <c r="AI19" s="20"/>
      <c r="AJ19" s="20"/>
      <c r="AK19" s="20"/>
      <c r="AL19" s="20"/>
      <c r="AM19" s="20"/>
      <c r="AN19" s="20"/>
      <c r="AO19" s="20"/>
      <c r="AU19" s="20"/>
      <c r="AV19" s="20"/>
      <c r="AW19" s="20"/>
      <c r="AX19" s="20"/>
      <c r="AY19" s="20"/>
      <c r="AZ19" s="20"/>
      <c r="BA19" s="20"/>
      <c r="BB19" s="20"/>
      <c r="BC19" s="20"/>
      <c r="BD19" s="20"/>
      <c r="BE19" s="20"/>
      <c r="BF19" s="20"/>
      <c r="BG19" s="20"/>
      <c r="BH19" s="20"/>
      <c r="BI19" s="20"/>
      <c r="BJ19" s="20"/>
      <c r="BK19" s="20"/>
      <c r="BL19" s="20"/>
      <c r="BM19" s="20"/>
      <c r="BN19" s="20"/>
      <c r="BO19" s="13"/>
      <c r="BP19" s="13" t="s">
        <v>4113</v>
      </c>
      <c r="BQ19" s="13"/>
      <c r="BR19" s="13"/>
      <c r="BS19" s="1"/>
      <c r="BT19" s="13"/>
      <c r="BU19" s="13"/>
      <c r="BV19" s="13"/>
      <c r="BW19" s="13"/>
      <c r="BX19" s="13"/>
      <c r="BY19" s="13"/>
      <c r="BZ19" s="13"/>
      <c r="CA19" s="13"/>
      <c r="CB19" s="13"/>
      <c r="CC19" s="13"/>
      <c r="CD19" s="13"/>
      <c r="CE19" s="13"/>
      <c r="CF19" s="13"/>
      <c r="CG19" s="13"/>
    </row>
    <row r="20" spans="1:85" ht="30" customHeight="1">
      <c r="A20" s="13"/>
      <c r="B20" s="402" t="s">
        <v>8</v>
      </c>
      <c r="C20" s="403"/>
      <c r="D20" s="403"/>
      <c r="E20" s="403"/>
      <c r="F20" s="403"/>
      <c r="G20" s="403"/>
      <c r="H20" s="403"/>
      <c r="I20" s="404"/>
      <c r="J20" s="443" t="s">
        <v>30</v>
      </c>
      <c r="K20" s="444"/>
      <c r="L20" s="444"/>
      <c r="M20" s="444"/>
      <c r="N20" s="444"/>
      <c r="O20" s="444"/>
      <c r="P20" s="444"/>
      <c r="Q20" s="444"/>
      <c r="R20" s="444"/>
      <c r="S20" s="444"/>
      <c r="T20" s="444"/>
      <c r="U20" s="444"/>
      <c r="V20" s="444"/>
      <c r="W20" s="445"/>
      <c r="X20" s="451" t="s">
        <v>4233</v>
      </c>
      <c r="Y20" s="404"/>
      <c r="Z20" s="13"/>
      <c r="AA20" s="13"/>
      <c r="AB20" s="13"/>
      <c r="AC20" s="13"/>
      <c r="AD20" s="13"/>
      <c r="AE20" s="29"/>
      <c r="AF20" s="30"/>
      <c r="AG20" s="20"/>
      <c r="AH20" s="20"/>
      <c r="AI20" s="20"/>
      <c r="AJ20" s="20"/>
      <c r="AK20" s="20"/>
      <c r="AL20" s="20"/>
      <c r="AM20" s="20"/>
      <c r="AN20" s="20"/>
      <c r="AO20" s="20"/>
      <c r="AU20" s="20"/>
      <c r="AV20" s="20"/>
      <c r="AW20" s="20"/>
      <c r="AX20" s="20"/>
      <c r="AY20" s="20"/>
      <c r="AZ20" s="20"/>
      <c r="BA20" s="20"/>
      <c r="BB20" s="20"/>
      <c r="BC20" s="20"/>
      <c r="BD20" s="20"/>
      <c r="BE20" s="20"/>
      <c r="BF20" s="20"/>
      <c r="BG20" s="20"/>
      <c r="BH20" s="20"/>
      <c r="BI20" s="20"/>
      <c r="BJ20" s="20"/>
      <c r="BK20" s="20"/>
      <c r="BL20" s="20"/>
      <c r="BM20" s="20"/>
      <c r="BN20" s="20"/>
      <c r="BO20" s="13"/>
      <c r="BP20" s="402"/>
      <c r="BQ20" s="403"/>
      <c r="BR20" s="404"/>
      <c r="BS20" s="450" t="s">
        <v>4112</v>
      </c>
      <c r="BT20" s="450"/>
      <c r="BU20" s="450"/>
      <c r="BV20" s="450"/>
      <c r="BW20" s="450"/>
      <c r="BX20" s="450"/>
      <c r="BY20" s="450"/>
      <c r="BZ20" s="450"/>
      <c r="CA20" s="450"/>
      <c r="CB20" s="450"/>
      <c r="CC20" s="450"/>
      <c r="CD20" s="450"/>
      <c r="CE20" s="450"/>
      <c r="CF20" s="450"/>
      <c r="CG20" s="13"/>
    </row>
    <row r="21" spans="1:85" ht="30" customHeight="1">
      <c r="A21" s="13"/>
      <c r="B21" s="405"/>
      <c r="C21" s="406"/>
      <c r="D21" s="406"/>
      <c r="E21" s="406"/>
      <c r="F21" s="406"/>
      <c r="G21" s="406"/>
      <c r="H21" s="406"/>
      <c r="I21" s="407"/>
      <c r="J21" s="450" t="s">
        <v>9</v>
      </c>
      <c r="K21" s="450" t="str">
        <f>基本設定シート!$C$8&amp;"年"</f>
        <v>2028年</v>
      </c>
      <c r="L21" s="450"/>
      <c r="M21" s="450"/>
      <c r="N21" s="450"/>
      <c r="O21" s="450"/>
      <c r="P21" s="450"/>
      <c r="Q21" s="450"/>
      <c r="R21" s="450"/>
      <c r="S21" s="450"/>
      <c r="T21" s="450" t="str">
        <f>基本設定シート!$C$8+1&amp;"年"</f>
        <v>2029年</v>
      </c>
      <c r="U21" s="450"/>
      <c r="V21" s="450"/>
      <c r="W21" s="448" t="s">
        <v>23</v>
      </c>
      <c r="X21" s="405"/>
      <c r="Y21" s="407"/>
      <c r="Z21" s="13"/>
      <c r="AA21" s="13"/>
      <c r="AB21" s="13"/>
      <c r="AC21" s="13"/>
      <c r="AD21" s="13"/>
      <c r="AE21" s="29"/>
      <c r="AF21" s="30"/>
      <c r="AG21" s="20"/>
      <c r="AH21" s="20"/>
      <c r="AI21" s="20"/>
      <c r="AJ21" s="20"/>
      <c r="AK21" s="20"/>
      <c r="AL21" s="20"/>
      <c r="AM21" s="20"/>
      <c r="AN21" s="20"/>
      <c r="AO21" s="20"/>
      <c r="AU21" s="20"/>
      <c r="AV21" s="20"/>
      <c r="AW21" s="20"/>
      <c r="AX21" s="20"/>
      <c r="AY21" s="20"/>
      <c r="AZ21" s="20"/>
      <c r="BA21" s="20"/>
      <c r="BB21" s="20"/>
      <c r="BC21" s="20"/>
      <c r="BD21" s="20"/>
      <c r="BE21" s="20"/>
      <c r="BF21" s="20"/>
      <c r="BG21" s="20"/>
      <c r="BH21" s="20"/>
      <c r="BI21" s="20"/>
      <c r="BJ21" s="20"/>
      <c r="BK21" s="20"/>
      <c r="BL21" s="20"/>
      <c r="BM21" s="20"/>
      <c r="BN21" s="20"/>
      <c r="BO21" s="13"/>
      <c r="BP21" s="405"/>
      <c r="BQ21" s="406"/>
      <c r="BR21" s="407"/>
      <c r="BS21" s="448" t="s">
        <v>9</v>
      </c>
      <c r="BT21" s="450" t="str">
        <f>基本設定シート!$C$8&amp;"年"</f>
        <v>2028年</v>
      </c>
      <c r="BU21" s="450"/>
      <c r="BV21" s="450"/>
      <c r="BW21" s="450"/>
      <c r="BX21" s="450"/>
      <c r="BY21" s="450"/>
      <c r="BZ21" s="450"/>
      <c r="CA21" s="450"/>
      <c r="CB21" s="450"/>
      <c r="CC21" s="450" t="str">
        <f>基本設定シート!$C$8+1&amp;"年"</f>
        <v>2029年</v>
      </c>
      <c r="CD21" s="450"/>
      <c r="CE21" s="450"/>
      <c r="CF21" s="448" t="s">
        <v>23</v>
      </c>
      <c r="CG21" s="13"/>
    </row>
    <row r="22" spans="1:85" ht="30" customHeight="1">
      <c r="A22" s="13"/>
      <c r="B22" s="408"/>
      <c r="C22" s="409"/>
      <c r="D22" s="409"/>
      <c r="E22" s="409"/>
      <c r="F22" s="409"/>
      <c r="G22" s="409"/>
      <c r="H22" s="409"/>
      <c r="I22" s="410"/>
      <c r="J22" s="450"/>
      <c r="K22" s="91" t="s">
        <v>10</v>
      </c>
      <c r="L22" s="91" t="s">
        <v>11</v>
      </c>
      <c r="M22" s="91" t="s">
        <v>12</v>
      </c>
      <c r="N22" s="91" t="s">
        <v>13</v>
      </c>
      <c r="O22" s="91" t="s">
        <v>14</v>
      </c>
      <c r="P22" s="91" t="s">
        <v>15</v>
      </c>
      <c r="Q22" s="91" t="s">
        <v>16</v>
      </c>
      <c r="R22" s="91" t="s">
        <v>17</v>
      </c>
      <c r="S22" s="91" t="s">
        <v>18</v>
      </c>
      <c r="T22" s="91" t="s">
        <v>19</v>
      </c>
      <c r="U22" s="91" t="s">
        <v>20</v>
      </c>
      <c r="V22" s="91" t="s">
        <v>21</v>
      </c>
      <c r="W22" s="449"/>
      <c r="X22" s="408"/>
      <c r="Y22" s="410"/>
      <c r="Z22" s="13"/>
      <c r="AA22" s="13"/>
      <c r="AB22" s="13"/>
      <c r="AC22" s="13"/>
      <c r="AD22" s="13"/>
      <c r="AE22" s="29"/>
      <c r="AF22" s="30"/>
      <c r="AG22" s="20"/>
      <c r="AH22" s="20"/>
      <c r="AI22" s="398" t="s">
        <v>4079</v>
      </c>
      <c r="AJ22" s="398"/>
      <c r="AK22" s="383" t="s">
        <v>4082</v>
      </c>
      <c r="AL22" s="383"/>
      <c r="AM22" s="383" t="s">
        <v>4080</v>
      </c>
      <c r="AN22" s="383"/>
      <c r="AO22" s="542" t="s">
        <v>3</v>
      </c>
      <c r="AP22" s="542"/>
      <c r="AQ22" s="542"/>
      <c r="AU22" s="48"/>
      <c r="AV22" s="41" t="s">
        <v>9</v>
      </c>
      <c r="AW22" s="41" t="s">
        <v>10</v>
      </c>
      <c r="AX22" s="41" t="s">
        <v>11</v>
      </c>
      <c r="AY22" s="41" t="s">
        <v>12</v>
      </c>
      <c r="AZ22" s="41" t="s">
        <v>13</v>
      </c>
      <c r="BA22" s="41" t="s">
        <v>14</v>
      </c>
      <c r="BB22" s="41" t="s">
        <v>15</v>
      </c>
      <c r="BC22" s="41" t="s">
        <v>16</v>
      </c>
      <c r="BD22" s="41" t="s">
        <v>17</v>
      </c>
      <c r="BE22" s="41" t="s">
        <v>18</v>
      </c>
      <c r="BF22" s="41" t="s">
        <v>19</v>
      </c>
      <c r="BG22" s="41" t="s">
        <v>20</v>
      </c>
      <c r="BH22" s="41" t="s">
        <v>21</v>
      </c>
      <c r="BI22" s="383" t="s">
        <v>4110</v>
      </c>
      <c r="BJ22" s="383"/>
      <c r="BK22" s="383" t="s">
        <v>28</v>
      </c>
      <c r="BL22" s="383"/>
      <c r="BM22" s="20"/>
      <c r="BN22" s="20"/>
      <c r="BO22" s="13"/>
      <c r="BP22" s="408"/>
      <c r="BQ22" s="409"/>
      <c r="BR22" s="410"/>
      <c r="BS22" s="449"/>
      <c r="BT22" s="104" t="s">
        <v>10</v>
      </c>
      <c r="BU22" s="104" t="s">
        <v>11</v>
      </c>
      <c r="BV22" s="104" t="s">
        <v>12</v>
      </c>
      <c r="BW22" s="104" t="s">
        <v>13</v>
      </c>
      <c r="BX22" s="104" t="s">
        <v>14</v>
      </c>
      <c r="BY22" s="104" t="s">
        <v>15</v>
      </c>
      <c r="BZ22" s="104" t="s">
        <v>16</v>
      </c>
      <c r="CA22" s="104" t="s">
        <v>17</v>
      </c>
      <c r="CB22" s="104" t="s">
        <v>18</v>
      </c>
      <c r="CC22" s="104" t="s">
        <v>19</v>
      </c>
      <c r="CD22" s="104" t="s">
        <v>20</v>
      </c>
      <c r="CE22" s="104" t="s">
        <v>21</v>
      </c>
      <c r="CF22" s="449"/>
      <c r="CG22" s="13"/>
    </row>
    <row r="23" spans="1:85" ht="30" customHeight="1">
      <c r="A23" s="13"/>
      <c r="B23" s="533" t="s">
        <v>4275</v>
      </c>
      <c r="C23" s="534"/>
      <c r="D23" s="103"/>
      <c r="E23" s="394" t="str">
        <f>'係数（車両用）'!O6</f>
        <v>ガソリン</v>
      </c>
      <c r="F23" s="436"/>
      <c r="G23" s="436"/>
      <c r="H23" s="436"/>
      <c r="I23" s="436"/>
      <c r="J23" s="39" t="str">
        <f>IFERROR(INDEX('係数（車両用）'!$M$3:$M$80,MATCH(E23,'係数（車両用）'!$Q$3:$Q$80,0)),"")</f>
        <v>リットル</v>
      </c>
      <c r="K23" s="5"/>
      <c r="L23" s="5"/>
      <c r="M23" s="5"/>
      <c r="N23" s="5"/>
      <c r="O23" s="5"/>
      <c r="P23" s="5"/>
      <c r="Q23" s="5"/>
      <c r="R23" s="5"/>
      <c r="S23" s="5"/>
      <c r="T23" s="5"/>
      <c r="U23" s="5"/>
      <c r="V23" s="5"/>
      <c r="W23" s="56" t="str">
        <f>IF(COUNTBLANK(K23:V23)=12,"",SUM(K23:V23))</f>
        <v/>
      </c>
      <c r="X23" s="101" t="str">
        <f>IF(AI23="","",AI23*AO23)</f>
        <v/>
      </c>
      <c r="Y23" s="28" t="s">
        <v>29</v>
      </c>
      <c r="Z23" s="13"/>
      <c r="AA23" s="13"/>
      <c r="AB23" s="13"/>
      <c r="AC23" s="13"/>
      <c r="AD23" s="13"/>
      <c r="AE23" s="13"/>
      <c r="AF23" s="20"/>
      <c r="AG23" s="20"/>
      <c r="AH23" s="20"/>
      <c r="AI23" s="45" t="str">
        <f>IF(W23="","",W23/1000)</f>
        <v/>
      </c>
      <c r="AJ23" s="26" t="str">
        <f>IFERROR(INDEX('係数（車両用）'!$G$3:$G$80,MATCH(E23,'係数（車両用）'!$Q$3:$Q$80,0)),"")</f>
        <v>kl</v>
      </c>
      <c r="AK23" s="46">
        <f>IFERROR(INDEX('係数（車両用）'!$H$3:$H$80,MATCH(E23,'係数（車両用）'!$Q$3:$Q$80,0)),"")</f>
        <v>33.4</v>
      </c>
      <c r="AL23" s="26" t="str">
        <f>IFERROR(INDEX('係数（車両用）'!$I$3:$I$80,MATCH(E23,'係数（車両用）'!$Q$3:$Q$80,0)),"")</f>
        <v>GＪ/ｋｌ</v>
      </c>
      <c r="AM23" s="46" t="str">
        <f>IF(AI23="","",AI23*AK23)</f>
        <v/>
      </c>
      <c r="AN23" s="26" t="s">
        <v>4081</v>
      </c>
      <c r="AO23" s="92">
        <f>IFERROR(INDEX('係数（車両用）'!$R$3:$R$80,MATCH(E23,'係数（車両用）'!$Q$3:$Q$80,0)),"")</f>
        <v>2.2901266666666666</v>
      </c>
      <c r="AP23" s="423" t="str">
        <f>"t-CO2/"&amp;AJ23</f>
        <v>t-CO2/kl</v>
      </c>
      <c r="AQ23" s="424"/>
      <c r="AR23" s="20"/>
      <c r="AS23" s="20"/>
      <c r="AT23" s="20"/>
      <c r="AU23" s="48" t="str">
        <f>"【車両】"&amp;$E$23</f>
        <v>【車両】ガソリン</v>
      </c>
      <c r="AV23" s="41" t="str">
        <f t="shared" ref="AV23:BH27" si="0">J23</f>
        <v>リットル</v>
      </c>
      <c r="AW23" s="49">
        <f t="shared" si="0"/>
        <v>0</v>
      </c>
      <c r="AX23" s="49">
        <f t="shared" si="0"/>
        <v>0</v>
      </c>
      <c r="AY23" s="49">
        <f t="shared" si="0"/>
        <v>0</v>
      </c>
      <c r="AZ23" s="49">
        <f t="shared" si="0"/>
        <v>0</v>
      </c>
      <c r="BA23" s="49">
        <f t="shared" si="0"/>
        <v>0</v>
      </c>
      <c r="BB23" s="49">
        <f t="shared" si="0"/>
        <v>0</v>
      </c>
      <c r="BC23" s="49">
        <f t="shared" si="0"/>
        <v>0</v>
      </c>
      <c r="BD23" s="49">
        <f t="shared" si="0"/>
        <v>0</v>
      </c>
      <c r="BE23" s="49">
        <f t="shared" si="0"/>
        <v>0</v>
      </c>
      <c r="BF23" s="49">
        <f t="shared" si="0"/>
        <v>0</v>
      </c>
      <c r="BG23" s="49">
        <f t="shared" si="0"/>
        <v>0</v>
      </c>
      <c r="BH23" s="49">
        <f t="shared" si="0"/>
        <v>0</v>
      </c>
      <c r="BI23" s="50" t="str">
        <f>AM23</f>
        <v/>
      </c>
      <c r="BJ23" s="26" t="s">
        <v>4081</v>
      </c>
      <c r="BK23" s="51" t="str">
        <f t="shared" ref="BK23:BK28" si="1">X23</f>
        <v/>
      </c>
      <c r="BL23" s="26" t="s">
        <v>29</v>
      </c>
      <c r="BM23" s="20"/>
      <c r="BN23" s="20"/>
      <c r="BO23" s="13"/>
      <c r="BP23" s="543" t="s">
        <v>4275</v>
      </c>
      <c r="BQ23" s="27"/>
      <c r="BR23" s="125" t="str">
        <f>$E$23</f>
        <v>ガソリン</v>
      </c>
      <c r="BS23" s="39" t="s">
        <v>4111</v>
      </c>
      <c r="BT23" s="5"/>
      <c r="BU23" s="5"/>
      <c r="BV23" s="5"/>
      <c r="BW23" s="5"/>
      <c r="BX23" s="5"/>
      <c r="BY23" s="5"/>
      <c r="BZ23" s="5"/>
      <c r="CA23" s="5"/>
      <c r="CB23" s="5"/>
      <c r="CC23" s="5"/>
      <c r="CD23" s="5"/>
      <c r="CE23" s="5"/>
      <c r="CF23" s="56" t="str">
        <f>IF(COUNTBLANK(BT23:CE23)=12,"",SUM(BT23:CE23))</f>
        <v/>
      </c>
      <c r="CG23" s="13"/>
    </row>
    <row r="24" spans="1:85" ht="30" customHeight="1">
      <c r="A24" s="13"/>
      <c r="B24" s="535"/>
      <c r="C24" s="536"/>
      <c r="D24" s="103"/>
      <c r="E24" s="394" t="str">
        <f>'係数（車両用）'!O10</f>
        <v>軽油</v>
      </c>
      <c r="F24" s="436"/>
      <c r="G24" s="436"/>
      <c r="H24" s="436"/>
      <c r="I24" s="436"/>
      <c r="J24" s="39" t="str">
        <f>IFERROR(INDEX('係数（車両用）'!$M$3:$M$80,MATCH(E24,'係数（車両用）'!$Q$3:$Q$80,0)),"")</f>
        <v>リットル</v>
      </c>
      <c r="K24" s="5"/>
      <c r="L24" s="5"/>
      <c r="M24" s="5"/>
      <c r="N24" s="5"/>
      <c r="O24" s="5"/>
      <c r="P24" s="5"/>
      <c r="Q24" s="5"/>
      <c r="R24" s="5"/>
      <c r="S24" s="5"/>
      <c r="T24" s="5"/>
      <c r="U24" s="5"/>
      <c r="V24" s="5"/>
      <c r="W24" s="56" t="str">
        <f>IF(COUNTBLANK(K24:V24)=12,"",SUM(K24:V24))</f>
        <v/>
      </c>
      <c r="X24" s="101" t="str">
        <f>IF(AI24="","",AI24*AO24)</f>
        <v/>
      </c>
      <c r="Y24" s="28" t="s">
        <v>29</v>
      </c>
      <c r="Z24" s="13"/>
      <c r="AA24" s="13"/>
      <c r="AB24" s="13"/>
      <c r="AC24" s="13"/>
      <c r="AD24" s="13"/>
      <c r="AE24" s="13"/>
      <c r="AF24" s="20"/>
      <c r="AG24" s="20"/>
      <c r="AH24" s="20"/>
      <c r="AI24" s="45" t="str">
        <f>IF(W24="","",W24/1000)</f>
        <v/>
      </c>
      <c r="AJ24" s="26" t="str">
        <f>IFERROR(INDEX('係数（車両用）'!$G$3:$G$80,MATCH(E24,'係数（車両用）'!$Q$3:$Q$80,0)),"")</f>
        <v>kl</v>
      </c>
      <c r="AK24" s="46">
        <f>IFERROR(INDEX('係数（車両用）'!$H$3:$H$80,MATCH(E24,'係数（車両用）'!$Q$3:$Q$80,0)),"")</f>
        <v>38</v>
      </c>
      <c r="AL24" s="26" t="str">
        <f>IFERROR(INDEX('係数（車両用）'!$I$3:$I$80,MATCH(E24,'係数（車両用）'!$Q$3:$Q$80,0)),"")</f>
        <v>GＪ/ｋｌ</v>
      </c>
      <c r="AM24" s="46" t="str">
        <f>IF(AI24="","",AI24*AK24)</f>
        <v/>
      </c>
      <c r="AN24" s="26" t="s">
        <v>4081</v>
      </c>
      <c r="AO24" s="92">
        <f>IFERROR(INDEX('係数（車両用）'!$R$3:$R$80,MATCH(E24,'係数（車両用）'!$Q$3:$Q$80,0)),"")</f>
        <v>2.6194666666666668</v>
      </c>
      <c r="AP24" s="423" t="str">
        <f>"t-CO2/"&amp;AJ24</f>
        <v>t-CO2/kl</v>
      </c>
      <c r="AQ24" s="424"/>
      <c r="AR24" s="20"/>
      <c r="AS24" s="20"/>
      <c r="AT24" s="20"/>
      <c r="AU24" s="48" t="str">
        <f>"【車両】"&amp;$E$24</f>
        <v>【車両】軽油</v>
      </c>
      <c r="AV24" s="41" t="str">
        <f t="shared" si="0"/>
        <v>リットル</v>
      </c>
      <c r="AW24" s="49">
        <f t="shared" si="0"/>
        <v>0</v>
      </c>
      <c r="AX24" s="49">
        <f t="shared" si="0"/>
        <v>0</v>
      </c>
      <c r="AY24" s="49">
        <f t="shared" si="0"/>
        <v>0</v>
      </c>
      <c r="AZ24" s="49">
        <f t="shared" si="0"/>
        <v>0</v>
      </c>
      <c r="BA24" s="49">
        <f t="shared" si="0"/>
        <v>0</v>
      </c>
      <c r="BB24" s="49">
        <f t="shared" si="0"/>
        <v>0</v>
      </c>
      <c r="BC24" s="49">
        <f t="shared" si="0"/>
        <v>0</v>
      </c>
      <c r="BD24" s="49">
        <f t="shared" si="0"/>
        <v>0</v>
      </c>
      <c r="BE24" s="49">
        <f t="shared" si="0"/>
        <v>0</v>
      </c>
      <c r="BF24" s="49">
        <f t="shared" si="0"/>
        <v>0</v>
      </c>
      <c r="BG24" s="49">
        <f t="shared" si="0"/>
        <v>0</v>
      </c>
      <c r="BH24" s="49">
        <f t="shared" si="0"/>
        <v>0</v>
      </c>
      <c r="BI24" s="50" t="str">
        <f>AM24</f>
        <v/>
      </c>
      <c r="BJ24" s="26" t="s">
        <v>4081</v>
      </c>
      <c r="BK24" s="51" t="str">
        <f t="shared" si="1"/>
        <v/>
      </c>
      <c r="BL24" s="26" t="s">
        <v>29</v>
      </c>
      <c r="BM24" s="20"/>
      <c r="BN24" s="20"/>
      <c r="BO24" s="13"/>
      <c r="BP24" s="544"/>
      <c r="BQ24" s="27"/>
      <c r="BR24" s="52" t="str">
        <f>$E$24</f>
        <v>軽油</v>
      </c>
      <c r="BS24" s="39" t="s">
        <v>4111</v>
      </c>
      <c r="BT24" s="5"/>
      <c r="BU24" s="5"/>
      <c r="BV24" s="5"/>
      <c r="BW24" s="5"/>
      <c r="BX24" s="5"/>
      <c r="BY24" s="5"/>
      <c r="BZ24" s="5"/>
      <c r="CA24" s="5"/>
      <c r="CB24" s="5"/>
      <c r="CC24" s="5"/>
      <c r="CD24" s="5"/>
      <c r="CE24" s="5"/>
      <c r="CF24" s="56" t="str">
        <f>IF(COUNTBLANK(BT24:CE24)=12,"",SUM(BT24:CE24))</f>
        <v/>
      </c>
      <c r="CG24" s="13"/>
    </row>
    <row r="25" spans="1:85" ht="30" customHeight="1">
      <c r="A25" s="13"/>
      <c r="B25" s="535"/>
      <c r="C25" s="536"/>
      <c r="D25" s="103"/>
      <c r="E25" s="394" t="str">
        <f>'係数（車両用）'!O15</f>
        <v>液化石油ガス(LPG)</v>
      </c>
      <c r="F25" s="436"/>
      <c r="G25" s="436"/>
      <c r="H25" s="436"/>
      <c r="I25" s="436"/>
      <c r="J25" s="39" t="str">
        <f>IFERROR(INDEX('係数（車両用）'!$M$3:$M$80,MATCH(E25,'係数（車両用）'!$Q$3:$Q$80,0)),"")</f>
        <v>リットル</v>
      </c>
      <c r="K25" s="5"/>
      <c r="L25" s="5"/>
      <c r="M25" s="5"/>
      <c r="N25" s="5"/>
      <c r="O25" s="5"/>
      <c r="P25" s="5"/>
      <c r="Q25" s="5"/>
      <c r="R25" s="5"/>
      <c r="S25" s="5"/>
      <c r="T25" s="5"/>
      <c r="U25" s="5"/>
      <c r="V25" s="5"/>
      <c r="W25" s="56" t="str">
        <f t="shared" ref="W25:W28" si="2">IF(COUNTBLANK(K25:V25)=12,"",SUM(K25:V25))</f>
        <v/>
      </c>
      <c r="X25" s="101" t="str">
        <f>IF(AI25="","",AI25*AO25)</f>
        <v/>
      </c>
      <c r="Y25" s="28" t="s">
        <v>29</v>
      </c>
      <c r="Z25" s="13"/>
      <c r="AA25" s="201"/>
      <c r="AB25" s="201"/>
      <c r="AC25" s="201"/>
      <c r="AD25" s="201"/>
      <c r="AE25" s="13"/>
      <c r="AF25" s="20"/>
      <c r="AG25" s="20"/>
      <c r="AH25" s="20"/>
      <c r="AI25" s="45" t="str">
        <f>IF(W25="","",W25/1000*AR25)</f>
        <v/>
      </c>
      <c r="AJ25" s="26" t="str">
        <f>IFERROR(INDEX('係数（車両用）'!$G$3:$G$80,MATCH(E25,'係数（車両用）'!$Q$3:$Q$80,0)),"")</f>
        <v>t</v>
      </c>
      <c r="AK25" s="46">
        <f>IFERROR(INDEX('係数（車両用）'!$H$3:$H$80,MATCH(E25,'係数（車両用）'!$Q$3:$Q$80,0)),"")</f>
        <v>50.1</v>
      </c>
      <c r="AL25" s="26" t="str">
        <f>IFERROR(INDEX('係数（車両用）'!$I$3:$I$80,MATCH(E25,'係数（車両用）'!$Q$3:$Q$80,0)),"")</f>
        <v>GＪ/ｔ</v>
      </c>
      <c r="AM25" s="46" t="str">
        <f t="shared" ref="AM25:AM28" si="3">IF(AI25="","",AI25*AK25)</f>
        <v/>
      </c>
      <c r="AN25" s="26" t="s">
        <v>4081</v>
      </c>
      <c r="AO25" s="92">
        <f>IFERROR(INDEX('係数（車両用）'!$R$3:$R$80,MATCH(E25,'係数（車両用）'!$Q$3:$Q$80,0)),"")</f>
        <v>2.99431</v>
      </c>
      <c r="AP25" s="423" t="str">
        <f t="shared" ref="AP25:AP28" si="4">"t-CO2/"&amp;AJ25</f>
        <v>t-CO2/t</v>
      </c>
      <c r="AQ25" s="424"/>
      <c r="AR25" s="20">
        <f>基本設定シート!$D$21</f>
        <v>0.53100000000000003</v>
      </c>
      <c r="AS25" s="20" t="s">
        <v>4265</v>
      </c>
      <c r="AT25" s="20"/>
      <c r="AU25" s="48" t="str">
        <f>"【車両】"&amp;$E$25</f>
        <v>【車両】液化石油ガス(LPG)</v>
      </c>
      <c r="AV25" s="41" t="str">
        <f t="shared" si="0"/>
        <v>リットル</v>
      </c>
      <c r="AW25" s="49">
        <f t="shared" si="0"/>
        <v>0</v>
      </c>
      <c r="AX25" s="49">
        <f t="shared" si="0"/>
        <v>0</v>
      </c>
      <c r="AY25" s="49">
        <f t="shared" si="0"/>
        <v>0</v>
      </c>
      <c r="AZ25" s="49">
        <f t="shared" si="0"/>
        <v>0</v>
      </c>
      <c r="BA25" s="49">
        <f t="shared" si="0"/>
        <v>0</v>
      </c>
      <c r="BB25" s="49">
        <f t="shared" si="0"/>
        <v>0</v>
      </c>
      <c r="BC25" s="49">
        <f t="shared" si="0"/>
        <v>0</v>
      </c>
      <c r="BD25" s="49">
        <f t="shared" si="0"/>
        <v>0</v>
      </c>
      <c r="BE25" s="49">
        <f t="shared" si="0"/>
        <v>0</v>
      </c>
      <c r="BF25" s="49">
        <f t="shared" si="0"/>
        <v>0</v>
      </c>
      <c r="BG25" s="49">
        <f t="shared" si="0"/>
        <v>0</v>
      </c>
      <c r="BH25" s="49">
        <f t="shared" si="0"/>
        <v>0</v>
      </c>
      <c r="BI25" s="50" t="str">
        <f t="shared" ref="BI25:BI28" si="5">AM25</f>
        <v/>
      </c>
      <c r="BJ25" s="26" t="s">
        <v>4081</v>
      </c>
      <c r="BK25" s="51" t="str">
        <f t="shared" si="1"/>
        <v/>
      </c>
      <c r="BL25" s="26" t="s">
        <v>29</v>
      </c>
      <c r="BM25" s="20"/>
      <c r="BN25" s="20"/>
      <c r="BO25" s="13"/>
      <c r="BP25" s="544"/>
      <c r="BQ25" s="27"/>
      <c r="BR25" s="52" t="str">
        <f>$E$25</f>
        <v>液化石油ガス(LPG)</v>
      </c>
      <c r="BS25" s="39" t="s">
        <v>4111</v>
      </c>
      <c r="BT25" s="5"/>
      <c r="BU25" s="5"/>
      <c r="BV25" s="5"/>
      <c r="BW25" s="5"/>
      <c r="BX25" s="5"/>
      <c r="BY25" s="5"/>
      <c r="BZ25" s="5"/>
      <c r="CA25" s="5"/>
      <c r="CB25" s="5"/>
      <c r="CC25" s="5"/>
      <c r="CD25" s="5"/>
      <c r="CE25" s="5"/>
      <c r="CF25" s="56" t="str">
        <f t="shared" ref="CF25:CF28" si="6">IF(COUNTBLANK(BT25:CE25)=12,"",SUM(BT25:CE25))</f>
        <v/>
      </c>
      <c r="CG25" s="13"/>
    </row>
    <row r="26" spans="1:85" ht="30" customHeight="1">
      <c r="A26" s="13"/>
      <c r="B26" s="535"/>
      <c r="C26" s="536"/>
      <c r="D26" s="103"/>
      <c r="E26" s="393" t="str">
        <f>'係数（車両用）'!O62</f>
        <v>電気（充電）</v>
      </c>
      <c r="F26" s="393"/>
      <c r="G26" s="393"/>
      <c r="H26" s="393"/>
      <c r="I26" s="394"/>
      <c r="J26" s="39" t="str">
        <f>IFERROR(INDEX('係数（車両用）'!$M$3:$M$80,MATCH(E26,'係数（車両用）'!$Q$3:$Q$80,0)),"")</f>
        <v>kWh</v>
      </c>
      <c r="K26" s="5"/>
      <c r="L26" s="5"/>
      <c r="M26" s="5"/>
      <c r="N26" s="5"/>
      <c r="O26" s="5"/>
      <c r="P26" s="5"/>
      <c r="Q26" s="5"/>
      <c r="R26" s="5"/>
      <c r="S26" s="5"/>
      <c r="T26" s="5"/>
      <c r="U26" s="5"/>
      <c r="V26" s="5"/>
      <c r="W26" s="56" t="str">
        <f>IF(COUNTBLANK(K26:V26)=12,"",SUM(K26:V26))</f>
        <v/>
      </c>
      <c r="X26" s="101" t="str">
        <f>IF(AI26="","",AI26*AO26)</f>
        <v/>
      </c>
      <c r="Y26" s="28" t="s">
        <v>29</v>
      </c>
      <c r="Z26" s="13"/>
      <c r="AA26" s="13"/>
      <c r="AB26" s="13"/>
      <c r="AC26" s="13"/>
      <c r="AD26" s="13"/>
      <c r="AE26" s="13"/>
      <c r="AF26" s="20"/>
      <c r="AG26" s="30"/>
      <c r="AH26" s="30"/>
      <c r="AI26" s="45" t="str">
        <f>IF(W26="","",W26/1000)</f>
        <v/>
      </c>
      <c r="AJ26" s="26" t="str">
        <f>IFERROR(INDEX('係数（車両用）'!$G$3:$G$80,MATCH(E26,'係数（車両用）'!$Q$3:$Q$80,0)),"")</f>
        <v>千kWh</v>
      </c>
      <c r="AK26" s="46">
        <f>IFERROR(INDEX('係数（車両用）'!$H$3:$H$80,MATCH(E26,'係数（車両用）'!$Q$3:$Q$80,0)),"")</f>
        <v>8.64</v>
      </c>
      <c r="AL26" s="26" t="str">
        <f>IFERROR(INDEX('係数（車両用）'!$I$3:$I$80,MATCH(E26,'係数（車両用）'!$Q$3:$Q$80,0)),"")</f>
        <v>GＪ/千kWh</v>
      </c>
      <c r="AM26" s="46" t="str">
        <f>IF(AI26="","",AI26*AK26)</f>
        <v/>
      </c>
      <c r="AN26" s="26" t="s">
        <v>4081</v>
      </c>
      <c r="AO26" s="92">
        <f>基本設定シート!$D$18</f>
        <v>0.42099999999999999</v>
      </c>
      <c r="AP26" s="432" t="str">
        <f>"t-CO2/"&amp;AJ26</f>
        <v>t-CO2/千kWh</v>
      </c>
      <c r="AQ26" s="433"/>
      <c r="AU26" s="48" t="str">
        <f>"【車両】"&amp;$E$26</f>
        <v>【車両】電気（充電）</v>
      </c>
      <c r="AV26" s="41" t="str">
        <f>J26</f>
        <v>kWh</v>
      </c>
      <c r="AW26" s="49">
        <f t="shared" ref="AW26:BH28" si="7">K26</f>
        <v>0</v>
      </c>
      <c r="AX26" s="49">
        <f t="shared" si="7"/>
        <v>0</v>
      </c>
      <c r="AY26" s="49">
        <f t="shared" si="7"/>
        <v>0</v>
      </c>
      <c r="AZ26" s="49">
        <f t="shared" si="7"/>
        <v>0</v>
      </c>
      <c r="BA26" s="49">
        <f t="shared" si="7"/>
        <v>0</v>
      </c>
      <c r="BB26" s="49">
        <f t="shared" si="7"/>
        <v>0</v>
      </c>
      <c r="BC26" s="49">
        <f t="shared" si="7"/>
        <v>0</v>
      </c>
      <c r="BD26" s="49">
        <f t="shared" si="7"/>
        <v>0</v>
      </c>
      <c r="BE26" s="49">
        <f t="shared" si="7"/>
        <v>0</v>
      </c>
      <c r="BF26" s="49">
        <f t="shared" si="7"/>
        <v>0</v>
      </c>
      <c r="BG26" s="49">
        <f t="shared" si="7"/>
        <v>0</v>
      </c>
      <c r="BH26" s="49">
        <f t="shared" si="7"/>
        <v>0</v>
      </c>
      <c r="BI26" s="50" t="str">
        <f>AM26</f>
        <v/>
      </c>
      <c r="BJ26" s="26" t="s">
        <v>4081</v>
      </c>
      <c r="BK26" s="51" t="str">
        <f t="shared" si="1"/>
        <v/>
      </c>
      <c r="BL26" s="26" t="s">
        <v>29</v>
      </c>
      <c r="BM26" s="20"/>
      <c r="BN26" s="20"/>
      <c r="BO26" s="13"/>
      <c r="BP26" s="544"/>
      <c r="BQ26" s="27"/>
      <c r="BR26" s="52" t="str">
        <f>$E$26</f>
        <v>電気（充電）</v>
      </c>
      <c r="BS26" s="39" t="s">
        <v>4111</v>
      </c>
      <c r="BT26" s="5"/>
      <c r="BU26" s="5"/>
      <c r="BV26" s="5"/>
      <c r="BW26" s="5"/>
      <c r="BX26" s="5"/>
      <c r="BY26" s="5"/>
      <c r="BZ26" s="5"/>
      <c r="CA26" s="5"/>
      <c r="CB26" s="5"/>
      <c r="CC26" s="5"/>
      <c r="CD26" s="5"/>
      <c r="CE26" s="5"/>
      <c r="CF26" s="56" t="str">
        <f t="shared" ref="CF26" si="8">IF(COUNTBLANK(BT26:CE26)=12,"",SUM(BT26:CE26))</f>
        <v/>
      </c>
      <c r="CG26" s="13"/>
    </row>
    <row r="27" spans="1:85" ht="30" customHeight="1">
      <c r="A27" s="13"/>
      <c r="B27" s="535"/>
      <c r="C27" s="536"/>
      <c r="D27" s="103"/>
      <c r="E27" s="394" t="str">
        <f>'係数（車両用）'!O48</f>
        <v>水素</v>
      </c>
      <c r="F27" s="436"/>
      <c r="G27" s="436"/>
      <c r="H27" s="436"/>
      <c r="I27" s="436"/>
      <c r="J27" s="39" t="str">
        <f>IFERROR(INDEX('係数（車両用）'!$M$3:$M$80,MATCH(E27,'係数（車両用）'!$Q$3:$Q$80,0)),"")</f>
        <v>kg</v>
      </c>
      <c r="K27" s="5"/>
      <c r="L27" s="5"/>
      <c r="M27" s="5"/>
      <c r="N27" s="5"/>
      <c r="O27" s="5"/>
      <c r="P27" s="5"/>
      <c r="Q27" s="5"/>
      <c r="R27" s="5"/>
      <c r="S27" s="5"/>
      <c r="T27" s="5"/>
      <c r="U27" s="5"/>
      <c r="V27" s="5"/>
      <c r="W27" s="56" t="str">
        <f t="shared" si="2"/>
        <v/>
      </c>
      <c r="X27" s="140" t="str">
        <f>IF(OR(AI27="",AO27=""),"",AI27*AO27)</f>
        <v/>
      </c>
      <c r="Y27" s="141" t="s">
        <v>29</v>
      </c>
      <c r="Z27" s="13"/>
      <c r="AA27" s="13"/>
      <c r="AB27" s="13"/>
      <c r="AC27" s="13"/>
      <c r="AD27" s="13"/>
      <c r="AE27" s="13"/>
      <c r="AF27" s="20"/>
      <c r="AG27" s="20"/>
      <c r="AH27" s="20"/>
      <c r="AI27" s="45" t="str">
        <f>IF(W27="","",W27/1000)</f>
        <v/>
      </c>
      <c r="AJ27" s="26" t="str">
        <f>IFERROR(INDEX('係数（車両用）'!$G$3:$G$80,MATCH(E27,'係数（車両用）'!$Q$3:$Q$80,0)),"")</f>
        <v>t</v>
      </c>
      <c r="AK27" s="46">
        <f>IFERROR(INDEX('係数（車両用）'!$H$3:$H$80,MATCH(E27,'係数（車両用）'!$Q$3:$Q$80,0)),"")</f>
        <v>142</v>
      </c>
      <c r="AL27" s="26" t="str">
        <f>IFERROR(INDEX('係数（車両用）'!$I$3:$I$80,MATCH(E27,'係数（車両用）'!$Q$3:$Q$80,0)),"")</f>
        <v>GJ/t</v>
      </c>
      <c r="AM27" s="46" t="str">
        <f t="shared" si="3"/>
        <v/>
      </c>
      <c r="AN27" s="26" t="s">
        <v>4081</v>
      </c>
      <c r="AO27" s="92" t="str">
        <f>IFERROR(INDEX('係数（車両用）'!$R$3:$R$80,MATCH(E27,'係数（車両用）'!$Q$3:$Q$80,0)),"")</f>
        <v/>
      </c>
      <c r="AP27" s="423" t="str">
        <f t="shared" si="4"/>
        <v>t-CO2/t</v>
      </c>
      <c r="AQ27" s="424"/>
      <c r="AR27" s="20"/>
      <c r="AS27" s="20"/>
      <c r="AT27" s="20"/>
      <c r="AU27" s="48" t="str">
        <f>"【車両】"&amp;$E$27</f>
        <v>【車両】水素</v>
      </c>
      <c r="AV27" s="41" t="str">
        <f t="shared" si="0"/>
        <v>kg</v>
      </c>
      <c r="AW27" s="49">
        <f t="shared" si="7"/>
        <v>0</v>
      </c>
      <c r="AX27" s="49">
        <f t="shared" si="7"/>
        <v>0</v>
      </c>
      <c r="AY27" s="49">
        <f t="shared" si="7"/>
        <v>0</v>
      </c>
      <c r="AZ27" s="49">
        <f t="shared" si="7"/>
        <v>0</v>
      </c>
      <c r="BA27" s="49">
        <f t="shared" si="7"/>
        <v>0</v>
      </c>
      <c r="BB27" s="49">
        <f t="shared" si="7"/>
        <v>0</v>
      </c>
      <c r="BC27" s="49">
        <f t="shared" si="7"/>
        <v>0</v>
      </c>
      <c r="BD27" s="49">
        <f t="shared" si="7"/>
        <v>0</v>
      </c>
      <c r="BE27" s="49">
        <f t="shared" si="7"/>
        <v>0</v>
      </c>
      <c r="BF27" s="49">
        <f t="shared" si="7"/>
        <v>0</v>
      </c>
      <c r="BG27" s="49">
        <f t="shared" si="7"/>
        <v>0</v>
      </c>
      <c r="BH27" s="49">
        <f t="shared" si="7"/>
        <v>0</v>
      </c>
      <c r="BI27" s="50" t="str">
        <f t="shared" si="5"/>
        <v/>
      </c>
      <c r="BJ27" s="26" t="s">
        <v>4081</v>
      </c>
      <c r="BK27" s="51" t="str">
        <f t="shared" si="1"/>
        <v/>
      </c>
      <c r="BL27" s="26" t="s">
        <v>29</v>
      </c>
      <c r="BM27" s="20"/>
      <c r="BN27" s="20"/>
      <c r="BO27" s="13"/>
      <c r="BP27" s="544"/>
      <c r="BQ27" s="27"/>
      <c r="BR27" s="52" t="str">
        <f>$E$27</f>
        <v>水素</v>
      </c>
      <c r="BS27" s="39" t="s">
        <v>4111</v>
      </c>
      <c r="BT27" s="5"/>
      <c r="BU27" s="5"/>
      <c r="BV27" s="5"/>
      <c r="BW27" s="5"/>
      <c r="BX27" s="5"/>
      <c r="BY27" s="5"/>
      <c r="BZ27" s="5"/>
      <c r="CA27" s="5"/>
      <c r="CB27" s="5"/>
      <c r="CC27" s="5"/>
      <c r="CD27" s="5"/>
      <c r="CE27" s="5"/>
      <c r="CF27" s="56" t="str">
        <f t="shared" si="6"/>
        <v/>
      </c>
      <c r="CG27" s="13"/>
    </row>
    <row r="28" spans="1:85" ht="30" customHeight="1" thickBot="1">
      <c r="A28" s="13"/>
      <c r="B28" s="535"/>
      <c r="C28" s="536"/>
      <c r="D28" s="113"/>
      <c r="E28" s="546" t="str">
        <f>IF('入力シート（2028年度提出用）'!E28="","上記以外のエネルギー（選択）",'入力シート（2028年度提出用）'!E28)</f>
        <v>上記以外のエネルギー（選択）</v>
      </c>
      <c r="F28" s="547"/>
      <c r="G28" s="547"/>
      <c r="H28" s="547"/>
      <c r="I28" s="547"/>
      <c r="J28" s="55" t="str">
        <f>IFERROR(INDEX('係数（車両用）'!$M$3:$M$80,MATCH(E28,'係数（車両用）'!$Q$3:$Q$80,0)),"")</f>
        <v/>
      </c>
      <c r="K28" s="6"/>
      <c r="L28" s="6"/>
      <c r="M28" s="6"/>
      <c r="N28" s="6"/>
      <c r="O28" s="6"/>
      <c r="P28" s="6"/>
      <c r="Q28" s="6"/>
      <c r="R28" s="6"/>
      <c r="S28" s="6"/>
      <c r="T28" s="6"/>
      <c r="U28" s="6"/>
      <c r="V28" s="6"/>
      <c r="W28" s="57" t="str">
        <f t="shared" si="2"/>
        <v/>
      </c>
      <c r="X28" s="102" t="str">
        <f>IF(OR(AI28="",AO28=""),"",AI28*AO28)</f>
        <v/>
      </c>
      <c r="Y28" s="58" t="s">
        <v>29</v>
      </c>
      <c r="Z28" s="13"/>
      <c r="AA28" s="13"/>
      <c r="AB28" s="13"/>
      <c r="AC28" s="13"/>
      <c r="AD28" s="13"/>
      <c r="AE28" s="13"/>
      <c r="AF28" s="20"/>
      <c r="AG28" s="20" t="str">
        <f>IF(OR(E28="上記以外のエネルギー（選択）",E28=""),"未選択","選択あり")</f>
        <v>未選択</v>
      </c>
      <c r="AH28" s="20"/>
      <c r="AI28" s="45" t="str">
        <f>IF(OR(W28="",E28="上記以外のエネルギー（選択）",E28=""),"",W28/1000)</f>
        <v/>
      </c>
      <c r="AJ28" s="26" t="str">
        <f>IFERROR(INDEX('係数（車両用）'!$G$3:$G$80,MATCH(E28,'係数（車両用）'!$Q$3:$Q$80,0)),"")</f>
        <v/>
      </c>
      <c r="AK28" s="46" t="str">
        <f>IFERROR(INDEX('係数（車両用）'!$H$3:$H$80,MATCH(E28,'係数（車両用）'!$Q$3:$Q$80,0)),"")</f>
        <v/>
      </c>
      <c r="AL28" s="26" t="str">
        <f>IFERROR(INDEX('係数（車両用）'!$I$3:$I$80,MATCH(E28,'係数（車両用）'!$Q$3:$Q$80,0)),"")</f>
        <v/>
      </c>
      <c r="AM28" s="46" t="str">
        <f t="shared" si="3"/>
        <v/>
      </c>
      <c r="AN28" s="26" t="s">
        <v>4081</v>
      </c>
      <c r="AO28" s="92" t="str">
        <f>IFERROR(INDEX('係数（車両用）'!$R$3:$R$80,MATCH(E28,'係数（車両用）'!$Q$3:$Q$80,0)),"")</f>
        <v/>
      </c>
      <c r="AP28" s="423" t="str">
        <f t="shared" si="4"/>
        <v>t-CO2/</v>
      </c>
      <c r="AQ28" s="424"/>
      <c r="AR28" s="20"/>
      <c r="AS28" s="20"/>
      <c r="AT28" s="20"/>
      <c r="AU28" s="48" t="str">
        <f>IF($AM$28="","","【車両】"&amp;$E$28)</f>
        <v/>
      </c>
      <c r="AV28" s="41" t="str">
        <f>J28</f>
        <v/>
      </c>
      <c r="AW28" s="49">
        <f t="shared" si="7"/>
        <v>0</v>
      </c>
      <c r="AX28" s="49">
        <f t="shared" si="7"/>
        <v>0</v>
      </c>
      <c r="AY28" s="49">
        <f t="shared" si="7"/>
        <v>0</v>
      </c>
      <c r="AZ28" s="49">
        <f t="shared" si="7"/>
        <v>0</v>
      </c>
      <c r="BA28" s="49">
        <f t="shared" si="7"/>
        <v>0</v>
      </c>
      <c r="BB28" s="49">
        <f t="shared" si="7"/>
        <v>0</v>
      </c>
      <c r="BC28" s="49">
        <f t="shared" si="7"/>
        <v>0</v>
      </c>
      <c r="BD28" s="49">
        <f t="shared" si="7"/>
        <v>0</v>
      </c>
      <c r="BE28" s="49">
        <f t="shared" si="7"/>
        <v>0</v>
      </c>
      <c r="BF28" s="49">
        <f t="shared" si="7"/>
        <v>0</v>
      </c>
      <c r="BG28" s="49">
        <f t="shared" si="7"/>
        <v>0</v>
      </c>
      <c r="BH28" s="49">
        <f t="shared" si="7"/>
        <v>0</v>
      </c>
      <c r="BI28" s="50" t="str">
        <f t="shared" si="5"/>
        <v/>
      </c>
      <c r="BJ28" s="26" t="s">
        <v>4081</v>
      </c>
      <c r="BK28" s="51" t="str">
        <f t="shared" si="1"/>
        <v/>
      </c>
      <c r="BL28" s="26" t="s">
        <v>29</v>
      </c>
      <c r="BM28" s="20"/>
      <c r="BN28" s="20"/>
      <c r="BO28" s="13"/>
      <c r="BP28" s="544"/>
      <c r="BQ28" s="53"/>
      <c r="BR28" s="54" t="str">
        <f>IF($AM$28="","",$E$28)</f>
        <v/>
      </c>
      <c r="BS28" s="55" t="s">
        <v>4111</v>
      </c>
      <c r="BT28" s="6"/>
      <c r="BU28" s="6"/>
      <c r="BV28" s="6"/>
      <c r="BW28" s="6"/>
      <c r="BX28" s="6"/>
      <c r="BY28" s="6"/>
      <c r="BZ28" s="6"/>
      <c r="CA28" s="6"/>
      <c r="CB28" s="6"/>
      <c r="CC28" s="6"/>
      <c r="CD28" s="6"/>
      <c r="CE28" s="6"/>
      <c r="CF28" s="57" t="str">
        <f t="shared" si="6"/>
        <v/>
      </c>
      <c r="CG28" s="13"/>
    </row>
    <row r="29" spans="1:85" ht="30" customHeight="1" thickTop="1">
      <c r="A29" s="13"/>
      <c r="B29" s="537"/>
      <c r="C29" s="538"/>
      <c r="D29" s="575" t="s">
        <v>23</v>
      </c>
      <c r="E29" s="575"/>
      <c r="F29" s="575"/>
      <c r="G29" s="575"/>
      <c r="H29" s="575"/>
      <c r="I29" s="575"/>
      <c r="J29" s="575"/>
      <c r="K29" s="575"/>
      <c r="L29" s="575"/>
      <c r="M29" s="575"/>
      <c r="N29" s="575"/>
      <c r="O29" s="575"/>
      <c r="P29" s="575"/>
      <c r="Q29" s="575"/>
      <c r="R29" s="575"/>
      <c r="S29" s="575"/>
      <c r="T29" s="575"/>
      <c r="U29" s="575"/>
      <c r="V29" s="575"/>
      <c r="W29" s="576"/>
      <c r="X29" s="107" t="str">
        <f>IF(SUM(W23:W28)=0,"",ROUNDDOWN(SUM(X23:X28),1))</f>
        <v/>
      </c>
      <c r="Y29" s="108" t="s">
        <v>29</v>
      </c>
      <c r="Z29" s="13"/>
      <c r="AA29" s="93"/>
      <c r="AB29" s="93"/>
      <c r="AC29" s="93"/>
      <c r="AD29" s="93"/>
      <c r="AE29" s="13"/>
      <c r="AF29" s="20"/>
      <c r="AG29" s="20"/>
      <c r="AH29" s="20"/>
      <c r="AI29" s="115"/>
      <c r="AJ29" s="70"/>
      <c r="AK29" s="116"/>
      <c r="AL29" s="70"/>
      <c r="AM29" s="116"/>
      <c r="AN29" s="70"/>
      <c r="AO29" s="117"/>
      <c r="AP29" s="423"/>
      <c r="AQ29" s="512"/>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3"/>
      <c r="BP29" s="545"/>
      <c r="BQ29" s="134"/>
      <c r="BR29" s="129" t="s">
        <v>23</v>
      </c>
      <c r="BS29" s="126" t="s">
        <v>4111</v>
      </c>
      <c r="BT29" s="127" t="str">
        <f>IF(COUNTBLANK(BT23:BT28)=6,"",SUM(BT23:BT28))</f>
        <v/>
      </c>
      <c r="BU29" s="127" t="str">
        <f t="shared" ref="BU29:CE29" si="9">IF(COUNTBLANK(BU23:BU28)=6,"",SUM(BU23:BU28))</f>
        <v/>
      </c>
      <c r="BV29" s="127" t="str">
        <f t="shared" si="9"/>
        <v/>
      </c>
      <c r="BW29" s="127" t="str">
        <f t="shared" si="9"/>
        <v/>
      </c>
      <c r="BX29" s="127" t="str">
        <f t="shared" si="9"/>
        <v/>
      </c>
      <c r="BY29" s="127" t="str">
        <f t="shared" si="9"/>
        <v/>
      </c>
      <c r="BZ29" s="127" t="str">
        <f t="shared" si="9"/>
        <v/>
      </c>
      <c r="CA29" s="127" t="str">
        <f t="shared" si="9"/>
        <v/>
      </c>
      <c r="CB29" s="127" t="str">
        <f t="shared" si="9"/>
        <v/>
      </c>
      <c r="CC29" s="127" t="str">
        <f t="shared" si="9"/>
        <v/>
      </c>
      <c r="CD29" s="127" t="str">
        <f t="shared" si="9"/>
        <v/>
      </c>
      <c r="CE29" s="127" t="str">
        <f t="shared" si="9"/>
        <v/>
      </c>
      <c r="CF29" s="127" t="str">
        <f>IF(COUNTBLANK(BT29:CE29)=12,"",SUM(BT29:CE29))</f>
        <v/>
      </c>
      <c r="CG29" s="13"/>
    </row>
    <row r="30" spans="1:85" ht="30" customHeight="1">
      <c r="A30" s="13"/>
      <c r="B30" s="507" t="s">
        <v>4276</v>
      </c>
      <c r="C30" s="508"/>
      <c r="D30" s="27"/>
      <c r="E30" s="393" t="str">
        <f>'係数（事業所用）'!O62</f>
        <v>電気</v>
      </c>
      <c r="F30" s="393"/>
      <c r="G30" s="393"/>
      <c r="H30" s="393"/>
      <c r="I30" s="394"/>
      <c r="J30" s="39" t="str">
        <f>IFERROR(INDEX('係数（事業所用）'!$M$3:$M$80,MATCH(E30,'係数（事業所用）'!$Q$3:$Q$80,0)),"")</f>
        <v>kWh</v>
      </c>
      <c r="K30" s="132"/>
      <c r="L30" s="132"/>
      <c r="M30" s="132"/>
      <c r="N30" s="132"/>
      <c r="O30" s="132"/>
      <c r="P30" s="132"/>
      <c r="Q30" s="132"/>
      <c r="R30" s="132"/>
      <c r="S30" s="132"/>
      <c r="T30" s="132"/>
      <c r="U30" s="132"/>
      <c r="V30" s="132"/>
      <c r="W30" s="118" t="str">
        <f t="shared" ref="W30:W34" si="10">IF(COUNTBLANK(K30:V30)=12,"",SUM(K30:V30))</f>
        <v/>
      </c>
      <c r="X30" s="120" t="str">
        <f t="shared" ref="X30:X33" si="11">IF(AI30="","",AI30*AO30)</f>
        <v/>
      </c>
      <c r="Y30" s="28" t="s">
        <v>29</v>
      </c>
      <c r="Z30" s="13"/>
      <c r="AA30" s="13"/>
      <c r="AB30" s="13"/>
      <c r="AC30" s="13"/>
      <c r="AD30" s="13"/>
      <c r="AE30" s="13"/>
      <c r="AF30" s="20"/>
      <c r="AG30" s="20"/>
      <c r="AH30" s="20"/>
      <c r="AI30" s="45" t="str">
        <f>IF(W30="","",W30/1000)</f>
        <v/>
      </c>
      <c r="AJ30" s="26" t="str">
        <f>IFERROR(INDEX('係数（事業所用）'!$G$3:$G$80,MATCH(E30,'係数（事業所用）'!$Q$3:$Q$80,0)),"")</f>
        <v>千kWh</v>
      </c>
      <c r="AK30" s="46">
        <f>IFERROR(INDEX('係数（事業所用）'!$H$3:$H$80,MATCH(E30,'係数（事業所用）'!$Q$3:$Q$80,0)),"")</f>
        <v>8.64</v>
      </c>
      <c r="AL30" s="26" t="str">
        <f>IFERROR(INDEX('係数（事業所用）'!$I$3:$I$80,MATCH(E30,'係数（事業所用）'!$Q$3:$Q$80,0)),"")</f>
        <v>GＪ/千kWh</v>
      </c>
      <c r="AM30" s="46" t="str">
        <f>IF(AI30="","",AI30*AK30)</f>
        <v/>
      </c>
      <c r="AN30" s="26" t="s">
        <v>4081</v>
      </c>
      <c r="AO30" s="92">
        <f>基本設定シート!$D$18</f>
        <v>0.42099999999999999</v>
      </c>
      <c r="AP30" s="423" t="str">
        <f>"t-CO2/"&amp;AJ30</f>
        <v>t-CO2/千kWh</v>
      </c>
      <c r="AQ30" s="424"/>
      <c r="AR30" s="20"/>
      <c r="AS30" s="20"/>
      <c r="AT30" s="20"/>
      <c r="AU30" s="48" t="str">
        <f>"【事業所】"&amp;$E$30</f>
        <v>【事業所】電気</v>
      </c>
      <c r="AV30" s="41" t="str">
        <f t="shared" ref="AV30" si="12">J30</f>
        <v>kWh</v>
      </c>
      <c r="AW30" s="49">
        <f t="shared" ref="AW30" si="13">K30</f>
        <v>0</v>
      </c>
      <c r="AX30" s="49">
        <f t="shared" ref="AX30" si="14">L30</f>
        <v>0</v>
      </c>
      <c r="AY30" s="49">
        <f t="shared" ref="AY30" si="15">M30</f>
        <v>0</v>
      </c>
      <c r="AZ30" s="49">
        <f t="shared" ref="AZ30" si="16">N30</f>
        <v>0</v>
      </c>
      <c r="BA30" s="49">
        <f t="shared" ref="BA30" si="17">O30</f>
        <v>0</v>
      </c>
      <c r="BB30" s="49">
        <f t="shared" ref="BB30" si="18">P30</f>
        <v>0</v>
      </c>
      <c r="BC30" s="49">
        <f t="shared" ref="BC30" si="19">Q30</f>
        <v>0</v>
      </c>
      <c r="BD30" s="49">
        <f t="shared" ref="BD30" si="20">R30</f>
        <v>0</v>
      </c>
      <c r="BE30" s="49">
        <f t="shared" ref="BE30" si="21">S30</f>
        <v>0</v>
      </c>
      <c r="BF30" s="49">
        <f t="shared" ref="BF30" si="22">T30</f>
        <v>0</v>
      </c>
      <c r="BG30" s="49">
        <f t="shared" ref="BG30" si="23">U30</f>
        <v>0</v>
      </c>
      <c r="BH30" s="49">
        <f t="shared" ref="BH30" si="24">V30</f>
        <v>0</v>
      </c>
      <c r="BI30" s="50" t="str">
        <f>AM30</f>
        <v/>
      </c>
      <c r="BJ30" s="26" t="s">
        <v>4081</v>
      </c>
      <c r="BK30" s="51" t="str">
        <f t="shared" ref="BK30" si="25">X30</f>
        <v/>
      </c>
      <c r="BL30" s="26" t="s">
        <v>29</v>
      </c>
      <c r="BM30" s="20"/>
      <c r="BN30" s="20"/>
      <c r="BO30" s="13"/>
      <c r="BP30" s="521" t="s">
        <v>4276</v>
      </c>
      <c r="BQ30" s="27"/>
      <c r="BR30" s="52" t="str">
        <f>$E$30</f>
        <v>電気</v>
      </c>
      <c r="BS30" s="39" t="s">
        <v>4111</v>
      </c>
      <c r="BT30" s="5"/>
      <c r="BU30" s="5"/>
      <c r="BV30" s="5"/>
      <c r="BW30" s="5"/>
      <c r="BX30" s="5"/>
      <c r="BY30" s="5"/>
      <c r="BZ30" s="5"/>
      <c r="CA30" s="5"/>
      <c r="CB30" s="5"/>
      <c r="CC30" s="5"/>
      <c r="CD30" s="5"/>
      <c r="CE30" s="5"/>
      <c r="CF30" s="56" t="str">
        <f>IF(COUNTBLANK(BT30:CE30)=12,"",SUM(BT30:CE30))</f>
        <v/>
      </c>
      <c r="CG30" s="13"/>
    </row>
    <row r="31" spans="1:85" ht="30" customHeight="1">
      <c r="A31" s="13"/>
      <c r="B31" s="509"/>
      <c r="C31" s="510"/>
      <c r="D31" s="27"/>
      <c r="E31" s="393" t="str">
        <f>'係数（事業所用）'!O31</f>
        <v>都市ガス</v>
      </c>
      <c r="F31" s="393"/>
      <c r="G31" s="393"/>
      <c r="H31" s="393"/>
      <c r="I31" s="394"/>
      <c r="J31" s="39" t="str">
        <f>IFERROR(INDEX('係数（事業所用）'!$M$3:$M$80,MATCH(E31,'係数（事業所用）'!$Q$3:$Q$80,0)),"")</f>
        <v>m3</v>
      </c>
      <c r="K31" s="132"/>
      <c r="L31" s="132"/>
      <c r="M31" s="132"/>
      <c r="N31" s="132"/>
      <c r="O31" s="132"/>
      <c r="P31" s="132"/>
      <c r="Q31" s="132"/>
      <c r="R31" s="132"/>
      <c r="S31" s="132"/>
      <c r="T31" s="132"/>
      <c r="U31" s="132"/>
      <c r="V31" s="132"/>
      <c r="W31" s="118" t="str">
        <f t="shared" si="10"/>
        <v/>
      </c>
      <c r="X31" s="121" t="str">
        <f t="shared" si="11"/>
        <v/>
      </c>
      <c r="Y31" s="28" t="s">
        <v>29</v>
      </c>
      <c r="Z31" s="13"/>
      <c r="AA31" s="13"/>
      <c r="AB31" s="13"/>
      <c r="AC31" s="13"/>
      <c r="AD31" s="13"/>
      <c r="AE31" s="13"/>
      <c r="AF31" s="20"/>
      <c r="AG31" s="20"/>
      <c r="AH31" s="20"/>
      <c r="AI31" s="45" t="str">
        <f>IF(W31="","",W31/1000)</f>
        <v/>
      </c>
      <c r="AJ31" s="26" t="str">
        <f>IFERROR(INDEX('係数（事業所用）'!$G$3:$G$80,MATCH(E31,'係数（事業所用）'!$Q$3:$Q$80,0)),"")</f>
        <v>千m3</v>
      </c>
      <c r="AK31" s="46">
        <f>IFERROR(INDEX('係数（事業所用）'!$H$3:$H$80,MATCH(E31,'係数（事業所用）'!$Q$3:$Q$80,0)),"")</f>
        <v>45</v>
      </c>
      <c r="AL31" s="26" t="str">
        <f>IFERROR(INDEX('係数（事業所用）'!$I$3:$I$80,MATCH(E31,'係数（事業所用）'!$Q$3:$Q$80,0)),"")</f>
        <v>GＪ/千Nｍ３</v>
      </c>
      <c r="AM31" s="46" t="str">
        <f>IF(AI31="","",AI31*AK31)</f>
        <v/>
      </c>
      <c r="AN31" s="26" t="s">
        <v>4081</v>
      </c>
      <c r="AO31" s="92">
        <f>IFERROR(INDEX('係数（事業所用）'!$R$3:$R$80,MATCH(E31,'係数（事業所用）'!$Q$3:$Q$80,0)),"")</f>
        <v>2.0882400000000003</v>
      </c>
      <c r="AP31" s="423" t="str">
        <f>"t-CO2/"&amp;AJ31</f>
        <v>t-CO2/千m3</v>
      </c>
      <c r="AQ31" s="424"/>
      <c r="AR31" s="20"/>
      <c r="AS31" s="20"/>
      <c r="AT31" s="20"/>
      <c r="AU31" s="48" t="str">
        <f>"【事業所】"&amp;$E$31</f>
        <v>【事業所】都市ガス</v>
      </c>
      <c r="AV31" s="41" t="str">
        <f t="shared" ref="AV31:AV33" si="26">J31</f>
        <v>m3</v>
      </c>
      <c r="AW31" s="49">
        <f t="shared" ref="AW31:AW34" si="27">K31</f>
        <v>0</v>
      </c>
      <c r="AX31" s="49">
        <f t="shared" ref="AX31:AX34" si="28">L31</f>
        <v>0</v>
      </c>
      <c r="AY31" s="49">
        <f t="shared" ref="AY31:AY34" si="29">M31</f>
        <v>0</v>
      </c>
      <c r="AZ31" s="49">
        <f t="shared" ref="AZ31:AZ34" si="30">N31</f>
        <v>0</v>
      </c>
      <c r="BA31" s="49">
        <f t="shared" ref="BA31:BA34" si="31">O31</f>
        <v>0</v>
      </c>
      <c r="BB31" s="49">
        <f t="shared" ref="BB31:BB34" si="32">P31</f>
        <v>0</v>
      </c>
      <c r="BC31" s="49">
        <f t="shared" ref="BC31:BC34" si="33">Q31</f>
        <v>0</v>
      </c>
      <c r="BD31" s="49">
        <f t="shared" ref="BD31:BD34" si="34">R31</f>
        <v>0</v>
      </c>
      <c r="BE31" s="49">
        <f t="shared" ref="BE31:BE34" si="35">S31</f>
        <v>0</v>
      </c>
      <c r="BF31" s="49">
        <f t="shared" ref="BF31:BF34" si="36">T31</f>
        <v>0</v>
      </c>
      <c r="BG31" s="49">
        <f t="shared" ref="BG31:BG34" si="37">U31</f>
        <v>0</v>
      </c>
      <c r="BH31" s="49">
        <f t="shared" ref="BH31:BH34" si="38">V31</f>
        <v>0</v>
      </c>
      <c r="BI31" s="50" t="str">
        <f t="shared" ref="BI31:BI34" si="39">AM31</f>
        <v/>
      </c>
      <c r="BJ31" s="26" t="s">
        <v>4081</v>
      </c>
      <c r="BK31" s="51" t="str">
        <f t="shared" ref="BK31:BK34" si="40">X31</f>
        <v/>
      </c>
      <c r="BL31" s="26" t="s">
        <v>4278</v>
      </c>
      <c r="BM31" s="20"/>
      <c r="BN31" s="20"/>
      <c r="BO31" s="13"/>
      <c r="BP31" s="522"/>
      <c r="BQ31" s="27"/>
      <c r="BR31" s="52" t="str">
        <f>$E$31</f>
        <v>都市ガス</v>
      </c>
      <c r="BS31" s="39" t="s">
        <v>4111</v>
      </c>
      <c r="BT31" s="5"/>
      <c r="BU31" s="5"/>
      <c r="BV31" s="5"/>
      <c r="BW31" s="5"/>
      <c r="BX31" s="5"/>
      <c r="BY31" s="5"/>
      <c r="BZ31" s="5"/>
      <c r="CA31" s="5"/>
      <c r="CB31" s="5"/>
      <c r="CC31" s="5"/>
      <c r="CD31" s="5"/>
      <c r="CE31" s="5"/>
      <c r="CF31" s="56" t="str">
        <f t="shared" ref="CF31:CF34" si="41">IF(COUNTBLANK(BT31:CE31)=12,"",SUM(BT31:CE31))</f>
        <v/>
      </c>
      <c r="CG31" s="13"/>
    </row>
    <row r="32" spans="1:85" ht="30" customHeight="1">
      <c r="A32" s="13"/>
      <c r="B32" s="509"/>
      <c r="C32" s="510"/>
      <c r="D32" s="27"/>
      <c r="E32" s="393" t="str">
        <f>'係数（事業所用）'!O15</f>
        <v>プロパンガス</v>
      </c>
      <c r="F32" s="393"/>
      <c r="G32" s="393"/>
      <c r="H32" s="393"/>
      <c r="I32" s="394"/>
      <c r="J32" s="39" t="str">
        <f>IFERROR(INDEX('係数（事業所用）'!$M$3:$M$80,MATCH(E32,'係数（事業所用）'!$Q$3:$Q$80,0)),"")</f>
        <v>m3</v>
      </c>
      <c r="K32" s="132"/>
      <c r="L32" s="132"/>
      <c r="M32" s="132"/>
      <c r="N32" s="132"/>
      <c r="O32" s="132"/>
      <c r="P32" s="132"/>
      <c r="Q32" s="132"/>
      <c r="R32" s="132"/>
      <c r="S32" s="132"/>
      <c r="T32" s="132"/>
      <c r="U32" s="132"/>
      <c r="V32" s="132"/>
      <c r="W32" s="118" t="str">
        <f t="shared" si="10"/>
        <v/>
      </c>
      <c r="X32" s="121" t="str">
        <f t="shared" si="11"/>
        <v/>
      </c>
      <c r="Y32" s="28" t="s">
        <v>29</v>
      </c>
      <c r="Z32" s="13"/>
      <c r="AA32" s="13"/>
      <c r="AB32" s="13"/>
      <c r="AC32" s="13"/>
      <c r="AD32" s="13"/>
      <c r="AE32" s="13"/>
      <c r="AF32" s="20"/>
      <c r="AG32" s="20"/>
      <c r="AH32" s="20"/>
      <c r="AI32" s="45" t="str">
        <f>IF(W32="","",W32/1000*AR32)</f>
        <v/>
      </c>
      <c r="AJ32" s="26" t="str">
        <f>IFERROR(INDEX('係数（事業所用）'!$G$3:$G$80,MATCH(E32,'係数（事業所用）'!$Q$3:$Q$80,0)),"")</f>
        <v>t</v>
      </c>
      <c r="AK32" s="46">
        <f>IFERROR(INDEX('係数（事業所用）'!$H$3:$H$80,MATCH(E32,'係数（事業所用）'!$Q$3:$Q$80,0)),"")</f>
        <v>50.1</v>
      </c>
      <c r="AL32" s="26" t="str">
        <f>IFERROR(INDEX('係数（事業所用）'!$I$3:$I$80,MATCH(E32,'係数（事業所用）'!$Q$3:$Q$80,0)),"")</f>
        <v>GＪ/ｔ</v>
      </c>
      <c r="AM32" s="46" t="str">
        <f>IF(AI32="","",AI32*AK32)</f>
        <v/>
      </c>
      <c r="AN32" s="26" t="s">
        <v>4081</v>
      </c>
      <c r="AO32" s="92">
        <f>IFERROR(INDEX('係数（事業所用）'!$R$3:$R$80,MATCH(E32,'係数（事業所用）'!$Q$3:$Q$80,0)),"")</f>
        <v>2.99431</v>
      </c>
      <c r="AP32" s="423" t="str">
        <f>"t-CO2/"&amp;AJ32</f>
        <v>t-CO2/t</v>
      </c>
      <c r="AQ32" s="424"/>
      <c r="AR32" s="20">
        <f>基本設定シート!$D$25</f>
        <v>2.1834061135371181</v>
      </c>
      <c r="AS32" s="20" t="s">
        <v>4048</v>
      </c>
      <c r="AT32" s="20"/>
      <c r="AU32" s="48" t="str">
        <f>"【事業所】"&amp;$E$32</f>
        <v>【事業所】プロパンガス</v>
      </c>
      <c r="AV32" s="41" t="str">
        <f t="shared" si="26"/>
        <v>m3</v>
      </c>
      <c r="AW32" s="49">
        <f t="shared" si="27"/>
        <v>0</v>
      </c>
      <c r="AX32" s="49">
        <f t="shared" si="28"/>
        <v>0</v>
      </c>
      <c r="AY32" s="49">
        <f t="shared" si="29"/>
        <v>0</v>
      </c>
      <c r="AZ32" s="49">
        <f t="shared" si="30"/>
        <v>0</v>
      </c>
      <c r="BA32" s="49">
        <f t="shared" si="31"/>
        <v>0</v>
      </c>
      <c r="BB32" s="49">
        <f t="shared" si="32"/>
        <v>0</v>
      </c>
      <c r="BC32" s="49">
        <f t="shared" si="33"/>
        <v>0</v>
      </c>
      <c r="BD32" s="49">
        <f t="shared" si="34"/>
        <v>0</v>
      </c>
      <c r="BE32" s="49">
        <f t="shared" si="35"/>
        <v>0</v>
      </c>
      <c r="BF32" s="49">
        <f t="shared" si="36"/>
        <v>0</v>
      </c>
      <c r="BG32" s="49">
        <f t="shared" si="37"/>
        <v>0</v>
      </c>
      <c r="BH32" s="49">
        <f t="shared" si="38"/>
        <v>0</v>
      </c>
      <c r="BI32" s="50" t="str">
        <f t="shared" si="39"/>
        <v/>
      </c>
      <c r="BJ32" s="26" t="s">
        <v>4081</v>
      </c>
      <c r="BK32" s="51" t="str">
        <f t="shared" si="40"/>
        <v/>
      </c>
      <c r="BL32" s="26" t="s">
        <v>4279</v>
      </c>
      <c r="BM32" s="20"/>
      <c r="BN32" s="20"/>
      <c r="BO32" s="13"/>
      <c r="BP32" s="522"/>
      <c r="BQ32" s="27"/>
      <c r="BR32" s="52" t="str">
        <f>$E$32</f>
        <v>プロパンガス</v>
      </c>
      <c r="BS32" s="39" t="s">
        <v>4111</v>
      </c>
      <c r="BT32" s="5"/>
      <c r="BU32" s="5"/>
      <c r="BV32" s="5"/>
      <c r="BW32" s="5"/>
      <c r="BX32" s="5"/>
      <c r="BY32" s="5"/>
      <c r="BZ32" s="5"/>
      <c r="CA32" s="5"/>
      <c r="CB32" s="5"/>
      <c r="CC32" s="5"/>
      <c r="CD32" s="5"/>
      <c r="CE32" s="5"/>
      <c r="CF32" s="56" t="str">
        <f t="shared" si="41"/>
        <v/>
      </c>
      <c r="CG32" s="13"/>
    </row>
    <row r="33" spans="1:85" ht="30" customHeight="1">
      <c r="A33" s="13"/>
      <c r="B33" s="509"/>
      <c r="C33" s="510"/>
      <c r="D33" s="27"/>
      <c r="E33" s="393" t="str">
        <f>'係数（事業所用）'!O9</f>
        <v>灯油</v>
      </c>
      <c r="F33" s="393"/>
      <c r="G33" s="393"/>
      <c r="H33" s="393"/>
      <c r="I33" s="394"/>
      <c r="J33" s="39" t="str">
        <f>IFERROR(INDEX('係数（事業所用）'!$M$3:$M$80,MATCH(E33,'係数（事業所用）'!$Q$3:$Q$80,0)),"")</f>
        <v>リットル</v>
      </c>
      <c r="K33" s="132"/>
      <c r="L33" s="132"/>
      <c r="M33" s="132"/>
      <c r="N33" s="132"/>
      <c r="O33" s="132"/>
      <c r="P33" s="132"/>
      <c r="Q33" s="132"/>
      <c r="R33" s="132"/>
      <c r="S33" s="132"/>
      <c r="T33" s="132"/>
      <c r="U33" s="132"/>
      <c r="V33" s="132"/>
      <c r="W33" s="118" t="str">
        <f t="shared" si="10"/>
        <v/>
      </c>
      <c r="X33" s="121" t="str">
        <f t="shared" si="11"/>
        <v/>
      </c>
      <c r="Y33" s="28" t="s">
        <v>29</v>
      </c>
      <c r="Z33" s="13"/>
      <c r="AA33" s="13"/>
      <c r="AB33" s="13"/>
      <c r="AC33" s="13"/>
      <c r="AD33" s="13"/>
      <c r="AE33" s="13"/>
      <c r="AF33" s="20"/>
      <c r="AG33" s="20"/>
      <c r="AH33" s="20"/>
      <c r="AI33" s="45" t="str">
        <f>IF(W33="","",W33/1000)</f>
        <v/>
      </c>
      <c r="AJ33" s="26" t="str">
        <f>IFERROR(INDEX('係数（事業所用）'!$G$3:$G$80,MATCH(E33,'係数（事業所用）'!$Q$3:$Q$80,0)),"")</f>
        <v>kl</v>
      </c>
      <c r="AK33" s="46">
        <f>IFERROR(INDEX('係数（事業所用）'!$H$3:$H$80,MATCH(E33,'係数（事業所用）'!$Q$3:$Q$80,0)),"")</f>
        <v>36.5</v>
      </c>
      <c r="AL33" s="26" t="str">
        <f>IFERROR(INDEX('係数（事業所用）'!$I$3:$I$80,MATCH(E33,'係数（事業所用）'!$Q$3:$Q$80,0)),"")</f>
        <v>GＪ/ｋｌ</v>
      </c>
      <c r="AM33" s="46" t="str">
        <f>IF(AI33="","",AI33*AK33)</f>
        <v/>
      </c>
      <c r="AN33" s="26" t="s">
        <v>4081</v>
      </c>
      <c r="AO33" s="92">
        <f>IFERROR(INDEX('係数（事業所用）'!$R$3:$R$80,MATCH(E33,'係数（事業所用）'!$Q$3:$Q$80,0)),"")</f>
        <v>2.5026833333333336</v>
      </c>
      <c r="AP33" s="423" t="str">
        <f>"t-CO2/"&amp;AJ33</f>
        <v>t-CO2/kl</v>
      </c>
      <c r="AQ33" s="424"/>
      <c r="AR33" s="20"/>
      <c r="AS33" s="20"/>
      <c r="AT33" s="20"/>
      <c r="AU33" s="48" t="str">
        <f>"【事業所】"&amp;$E$33</f>
        <v>【事業所】灯油</v>
      </c>
      <c r="AV33" s="41" t="str">
        <f t="shared" si="26"/>
        <v>リットル</v>
      </c>
      <c r="AW33" s="49">
        <f t="shared" si="27"/>
        <v>0</v>
      </c>
      <c r="AX33" s="49">
        <f t="shared" si="28"/>
        <v>0</v>
      </c>
      <c r="AY33" s="49">
        <f t="shared" si="29"/>
        <v>0</v>
      </c>
      <c r="AZ33" s="49">
        <f t="shared" si="30"/>
        <v>0</v>
      </c>
      <c r="BA33" s="49">
        <f t="shared" si="31"/>
        <v>0</v>
      </c>
      <c r="BB33" s="49">
        <f t="shared" si="32"/>
        <v>0</v>
      </c>
      <c r="BC33" s="49">
        <f t="shared" si="33"/>
        <v>0</v>
      </c>
      <c r="BD33" s="49">
        <f t="shared" si="34"/>
        <v>0</v>
      </c>
      <c r="BE33" s="49">
        <f t="shared" si="35"/>
        <v>0</v>
      </c>
      <c r="BF33" s="49">
        <f t="shared" si="36"/>
        <v>0</v>
      </c>
      <c r="BG33" s="49">
        <f t="shared" si="37"/>
        <v>0</v>
      </c>
      <c r="BH33" s="49">
        <f t="shared" si="38"/>
        <v>0</v>
      </c>
      <c r="BI33" s="50" t="str">
        <f t="shared" si="39"/>
        <v/>
      </c>
      <c r="BJ33" s="26" t="s">
        <v>4081</v>
      </c>
      <c r="BK33" s="51" t="str">
        <f t="shared" si="40"/>
        <v/>
      </c>
      <c r="BL33" s="26" t="s">
        <v>4280</v>
      </c>
      <c r="BM33" s="20"/>
      <c r="BN33" s="20"/>
      <c r="BO33" s="13"/>
      <c r="BP33" s="522"/>
      <c r="BQ33" s="27"/>
      <c r="BR33" s="52" t="str">
        <f>$E$33</f>
        <v>灯油</v>
      </c>
      <c r="BS33" s="39" t="s">
        <v>4111</v>
      </c>
      <c r="BT33" s="5"/>
      <c r="BU33" s="5"/>
      <c r="BV33" s="5"/>
      <c r="BW33" s="5"/>
      <c r="BX33" s="5"/>
      <c r="BY33" s="5"/>
      <c r="BZ33" s="5"/>
      <c r="CA33" s="5"/>
      <c r="CB33" s="5"/>
      <c r="CC33" s="5"/>
      <c r="CD33" s="5"/>
      <c r="CE33" s="5"/>
      <c r="CF33" s="56" t="str">
        <f t="shared" si="41"/>
        <v/>
      </c>
      <c r="CG33" s="13"/>
    </row>
    <row r="34" spans="1:85" ht="30" customHeight="1" thickBot="1">
      <c r="A34" s="13"/>
      <c r="B34" s="509"/>
      <c r="C34" s="510"/>
      <c r="D34" s="114"/>
      <c r="E34" s="531" t="str">
        <f>IF('入力シート（2028年度提出用）'!E34="","上記以外のエネルギー（選択）",'入力シート（2028年度提出用）'!E34)</f>
        <v>上記以外のエネルギー（選択）</v>
      </c>
      <c r="F34" s="531"/>
      <c r="G34" s="531"/>
      <c r="H34" s="531"/>
      <c r="I34" s="532"/>
      <c r="J34" s="55" t="str">
        <f>IFERROR(INDEX('係数（事業所用）'!$M$3:$M$80,MATCH(E34,'係数（事業所用）'!$Q$3:$Q$80,0)),"")</f>
        <v/>
      </c>
      <c r="K34" s="133"/>
      <c r="L34" s="133"/>
      <c r="M34" s="133"/>
      <c r="N34" s="133"/>
      <c r="O34" s="133"/>
      <c r="P34" s="133"/>
      <c r="Q34" s="133"/>
      <c r="R34" s="133"/>
      <c r="S34" s="133"/>
      <c r="T34" s="133"/>
      <c r="U34" s="133"/>
      <c r="V34" s="133"/>
      <c r="W34" s="119" t="str">
        <f t="shared" si="10"/>
        <v/>
      </c>
      <c r="X34" s="122" t="str">
        <f>IF(OR(AI34="",AO34=""),"",AI34*AO34)</f>
        <v/>
      </c>
      <c r="Y34" s="58" t="s">
        <v>29</v>
      </c>
      <c r="Z34" s="13"/>
      <c r="AA34" s="13"/>
      <c r="AB34" s="13"/>
      <c r="AC34" s="13"/>
      <c r="AD34" s="13"/>
      <c r="AE34" s="13"/>
      <c r="AF34" s="20"/>
      <c r="AG34" s="20" t="str">
        <f>IF(OR(E34="上記以外のエネルギー（選択）",E34=""),"未選択","選択あり")</f>
        <v>未選択</v>
      </c>
      <c r="AH34" s="20"/>
      <c r="AI34" s="45" t="str">
        <f>IF(OR(W34="",E34="上記以外のエネルギー（選択）",E34=""),"",W34/1000)</f>
        <v/>
      </c>
      <c r="AJ34" s="26" t="str">
        <f>IFERROR(INDEX('係数（事業所用）'!$G$3:$G$80,MATCH(E34,'係数（事業所用）'!$Q$3:$Q$80,0)),"")</f>
        <v/>
      </c>
      <c r="AK34" s="46" t="str">
        <f>IFERROR(INDEX('係数（事業所用）'!$H$3:$H$80,MATCH(E34,'係数（事業所用）'!$Q$3:$Q$80,0)),"")</f>
        <v/>
      </c>
      <c r="AL34" s="26" t="str">
        <f>IFERROR(INDEX('係数（事業所用）'!$I$3:$I$80,MATCH(E34,'係数（事業所用）'!$Q$3:$Q$80,0)),"")</f>
        <v/>
      </c>
      <c r="AM34" s="46" t="str">
        <f t="shared" ref="AM34" si="42">IF(AI34="","",AI34*AK34)</f>
        <v/>
      </c>
      <c r="AN34" s="26" t="s">
        <v>4081</v>
      </c>
      <c r="AO34" s="92" t="str">
        <f>IFERROR(INDEX('係数（事業所用）'!$R$3:$R$80,MATCH(E34,'係数（事業所用）'!$Q$3:$Q$80,0)),"")</f>
        <v/>
      </c>
      <c r="AP34" s="423" t="str">
        <f t="shared" ref="AP34" si="43">"t-CO2/"&amp;AJ34</f>
        <v>t-CO2/</v>
      </c>
      <c r="AQ34" s="424"/>
      <c r="AR34" s="20"/>
      <c r="AS34" s="20"/>
      <c r="AT34" s="20"/>
      <c r="AU34" s="48" t="str">
        <f>IF($AM$34="","","【事業所】"&amp;$E$34)</f>
        <v/>
      </c>
      <c r="AV34" s="41" t="str">
        <f>J34</f>
        <v/>
      </c>
      <c r="AW34" s="49">
        <f t="shared" si="27"/>
        <v>0</v>
      </c>
      <c r="AX34" s="49">
        <f t="shared" si="28"/>
        <v>0</v>
      </c>
      <c r="AY34" s="49">
        <f t="shared" si="29"/>
        <v>0</v>
      </c>
      <c r="AZ34" s="49">
        <f t="shared" si="30"/>
        <v>0</v>
      </c>
      <c r="BA34" s="49">
        <f t="shared" si="31"/>
        <v>0</v>
      </c>
      <c r="BB34" s="49">
        <f t="shared" si="32"/>
        <v>0</v>
      </c>
      <c r="BC34" s="49">
        <f t="shared" si="33"/>
        <v>0</v>
      </c>
      <c r="BD34" s="49">
        <f t="shared" si="34"/>
        <v>0</v>
      </c>
      <c r="BE34" s="49">
        <f t="shared" si="35"/>
        <v>0</v>
      </c>
      <c r="BF34" s="49">
        <f t="shared" si="36"/>
        <v>0</v>
      </c>
      <c r="BG34" s="49">
        <f t="shared" si="37"/>
        <v>0</v>
      </c>
      <c r="BH34" s="49">
        <f t="shared" si="38"/>
        <v>0</v>
      </c>
      <c r="BI34" s="50" t="str">
        <f t="shared" si="39"/>
        <v/>
      </c>
      <c r="BJ34" s="26" t="s">
        <v>4081</v>
      </c>
      <c r="BK34" s="51" t="str">
        <f t="shared" si="40"/>
        <v/>
      </c>
      <c r="BL34" s="26" t="s">
        <v>29</v>
      </c>
      <c r="BM34" s="20"/>
      <c r="BN34" s="20"/>
      <c r="BO34" s="13"/>
      <c r="BP34" s="522"/>
      <c r="BQ34" s="53"/>
      <c r="BR34" s="54" t="str">
        <f>IF($AM$34="","",$E$34)</f>
        <v/>
      </c>
      <c r="BS34" s="55" t="s">
        <v>4111</v>
      </c>
      <c r="BT34" s="6"/>
      <c r="BU34" s="6"/>
      <c r="BV34" s="6"/>
      <c r="BW34" s="6"/>
      <c r="BX34" s="6"/>
      <c r="BY34" s="6"/>
      <c r="BZ34" s="6"/>
      <c r="CA34" s="6"/>
      <c r="CB34" s="6"/>
      <c r="CC34" s="6"/>
      <c r="CD34" s="6"/>
      <c r="CE34" s="6"/>
      <c r="CF34" s="57" t="str">
        <f t="shared" si="41"/>
        <v/>
      </c>
      <c r="CG34" s="13"/>
    </row>
    <row r="35" spans="1:85" ht="30" customHeight="1" thickTop="1">
      <c r="A35" s="13"/>
      <c r="B35" s="496"/>
      <c r="C35" s="511"/>
      <c r="D35" s="583" t="s">
        <v>23</v>
      </c>
      <c r="E35" s="583"/>
      <c r="F35" s="583"/>
      <c r="G35" s="583"/>
      <c r="H35" s="583"/>
      <c r="I35" s="583"/>
      <c r="J35" s="583"/>
      <c r="K35" s="583"/>
      <c r="L35" s="583"/>
      <c r="M35" s="583"/>
      <c r="N35" s="583"/>
      <c r="O35" s="583"/>
      <c r="P35" s="583"/>
      <c r="Q35" s="583"/>
      <c r="R35" s="583"/>
      <c r="S35" s="583"/>
      <c r="T35" s="583"/>
      <c r="U35" s="583"/>
      <c r="V35" s="583"/>
      <c r="W35" s="584"/>
      <c r="X35" s="124" t="str">
        <f>IF(SUM(W30:W34)=0,"",ROUNDDOWN(SUM(X30:X34),1))</f>
        <v/>
      </c>
      <c r="Y35" s="112" t="s">
        <v>29</v>
      </c>
      <c r="Z35" s="13"/>
      <c r="AA35" s="13"/>
      <c r="AB35" s="13"/>
      <c r="AC35" s="13"/>
      <c r="AD35" s="13"/>
      <c r="AE35" s="13"/>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13"/>
      <c r="BP35" s="523"/>
      <c r="BQ35" s="135"/>
      <c r="BR35" s="111" t="s">
        <v>23</v>
      </c>
      <c r="BS35" s="130" t="s">
        <v>4111</v>
      </c>
      <c r="BT35" s="131" t="str">
        <f>IF(COUNTBLANK(BT30:BT34)=5,"",SUM(BT30:BT34))</f>
        <v/>
      </c>
      <c r="BU35" s="131" t="str">
        <f t="shared" ref="BU35:CE35" si="44">IF(COUNTBLANK(BU30:BU34)=5,"",SUM(BU30:BU34))</f>
        <v/>
      </c>
      <c r="BV35" s="131" t="str">
        <f t="shared" si="44"/>
        <v/>
      </c>
      <c r="BW35" s="131" t="str">
        <f t="shared" si="44"/>
        <v/>
      </c>
      <c r="BX35" s="131" t="str">
        <f t="shared" si="44"/>
        <v/>
      </c>
      <c r="BY35" s="131" t="str">
        <f t="shared" si="44"/>
        <v/>
      </c>
      <c r="BZ35" s="131" t="str">
        <f t="shared" si="44"/>
        <v/>
      </c>
      <c r="CA35" s="131" t="str">
        <f t="shared" si="44"/>
        <v/>
      </c>
      <c r="CB35" s="131" t="str">
        <f t="shared" si="44"/>
        <v/>
      </c>
      <c r="CC35" s="131" t="str">
        <f t="shared" si="44"/>
        <v/>
      </c>
      <c r="CD35" s="131" t="str">
        <f t="shared" si="44"/>
        <v/>
      </c>
      <c r="CE35" s="131" t="str">
        <f t="shared" si="44"/>
        <v/>
      </c>
      <c r="CF35" s="131" t="str">
        <f>IF(COUNTBLANK(BT35:CE35)=12,"",SUM(BT35:CE35))</f>
        <v/>
      </c>
      <c r="CG35" s="13"/>
    </row>
    <row r="36" spans="1:85" ht="20.45" customHeight="1">
      <c r="A36" s="13"/>
      <c r="B36" s="13"/>
      <c r="C36" s="13"/>
      <c r="D36" s="13"/>
      <c r="E36" s="13"/>
      <c r="F36" s="13"/>
      <c r="G36" s="13"/>
      <c r="H36" s="13"/>
      <c r="I36" s="13"/>
      <c r="J36" s="81"/>
      <c r="K36" s="81"/>
      <c r="L36" s="13"/>
      <c r="M36" s="13"/>
      <c r="N36" s="13"/>
      <c r="O36" s="13"/>
      <c r="P36" s="13"/>
      <c r="Q36" s="13"/>
      <c r="R36" s="13"/>
      <c r="S36" s="13"/>
      <c r="T36" s="13"/>
      <c r="U36" s="13"/>
      <c r="V36" s="13"/>
      <c r="W36" s="13"/>
      <c r="X36" s="13"/>
      <c r="Y36" s="13"/>
      <c r="Z36" s="13"/>
      <c r="AA36" s="13"/>
      <c r="AB36" s="13"/>
      <c r="AC36" s="13"/>
      <c r="AD36" s="13"/>
      <c r="AE36" s="13"/>
      <c r="AF36" s="20"/>
      <c r="AG36" s="20"/>
      <c r="AH36" s="20"/>
      <c r="AI36" s="76"/>
      <c r="AJ36" s="20"/>
      <c r="AK36" s="77"/>
      <c r="AL36" s="20"/>
      <c r="AM36" s="77"/>
      <c r="AN36" s="20"/>
      <c r="AO36" s="6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13"/>
      <c r="BP36" s="13"/>
      <c r="BQ36" s="13"/>
      <c r="BR36" s="13"/>
      <c r="BS36" s="13"/>
      <c r="BT36" s="13"/>
      <c r="BU36" s="13"/>
      <c r="BV36" s="13"/>
      <c r="BW36" s="13"/>
      <c r="BX36" s="13"/>
      <c r="BY36" s="13"/>
      <c r="BZ36" s="13"/>
      <c r="CA36" s="13"/>
      <c r="CB36" s="13"/>
      <c r="CC36" s="13"/>
      <c r="CD36" s="13"/>
      <c r="CE36" s="13"/>
      <c r="CF36" s="13"/>
      <c r="CG36" s="13"/>
    </row>
    <row r="37" spans="1:85" ht="30" customHeight="1">
      <c r="A37" s="13"/>
      <c r="B37" s="425" t="str">
        <f>"車両台数（"&amp;基本設定シート!C8&amp;"年度）"</f>
        <v>車両台数（2028年度）</v>
      </c>
      <c r="C37" s="426"/>
      <c r="D37" s="426"/>
      <c r="E37" s="426"/>
      <c r="F37" s="426"/>
      <c r="G37" s="427"/>
      <c r="H37" s="13"/>
      <c r="I37" s="13"/>
      <c r="J37" s="81"/>
      <c r="K37" s="81"/>
      <c r="L37" s="13"/>
      <c r="M37" s="13"/>
      <c r="N37" s="13"/>
      <c r="O37" s="13"/>
      <c r="P37" s="13"/>
      <c r="Q37" s="13"/>
      <c r="R37" s="13"/>
      <c r="S37" s="13"/>
      <c r="T37" s="13"/>
      <c r="U37" s="13"/>
      <c r="V37" s="13"/>
      <c r="W37" s="13"/>
      <c r="X37" s="13"/>
      <c r="Y37" s="13"/>
      <c r="Z37" s="13"/>
      <c r="AA37" s="13"/>
      <c r="AB37" s="13"/>
      <c r="AC37" s="13"/>
      <c r="AD37" s="13"/>
      <c r="AE37" s="13"/>
      <c r="AF37" s="20"/>
      <c r="AG37" s="20"/>
      <c r="AH37" s="20"/>
      <c r="AI37" s="76"/>
      <c r="AJ37" s="20"/>
      <c r="AK37" s="77"/>
      <c r="AL37" s="20"/>
      <c r="AM37" s="77"/>
      <c r="AN37" s="20"/>
      <c r="AO37" s="6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147"/>
      <c r="BP37" s="147"/>
      <c r="BQ37" s="147"/>
      <c r="BR37" s="147"/>
      <c r="BS37" s="147"/>
      <c r="BT37" s="147"/>
      <c r="BU37" s="147"/>
      <c r="BV37" s="147"/>
      <c r="BW37" s="147"/>
      <c r="BX37" s="147"/>
      <c r="BY37" s="147"/>
      <c r="BZ37" s="147"/>
      <c r="CA37" s="147"/>
      <c r="CB37" s="147"/>
      <c r="CC37" s="147"/>
      <c r="CD37" s="147"/>
      <c r="CE37" s="147"/>
      <c r="CF37" s="147"/>
      <c r="CG37" s="147"/>
    </row>
    <row r="38" spans="1:85" ht="3.75" customHeight="1">
      <c r="A38" s="13"/>
      <c r="B38" s="13"/>
      <c r="C38" s="13"/>
      <c r="D38" s="13"/>
      <c r="E38" s="13"/>
      <c r="F38" s="13"/>
      <c r="G38" s="13"/>
      <c r="H38" s="13"/>
      <c r="I38" s="13"/>
      <c r="J38" s="81"/>
      <c r="K38" s="81"/>
      <c r="L38" s="13"/>
      <c r="M38" s="13"/>
      <c r="N38" s="13"/>
      <c r="O38" s="13"/>
      <c r="P38" s="13"/>
      <c r="Q38" s="13"/>
      <c r="R38" s="13"/>
      <c r="S38" s="13"/>
      <c r="T38" s="13"/>
      <c r="U38" s="13"/>
      <c r="V38" s="13"/>
      <c r="W38" s="13"/>
      <c r="X38" s="13"/>
      <c r="Y38" s="13"/>
      <c r="Z38" s="13"/>
      <c r="AA38" s="13"/>
      <c r="AB38" s="13"/>
      <c r="AC38" s="13"/>
      <c r="AD38" s="13"/>
      <c r="AE38" s="13"/>
      <c r="AF38" s="20"/>
      <c r="AG38" s="20"/>
      <c r="AH38" s="20"/>
      <c r="AI38" s="76"/>
      <c r="AJ38" s="20"/>
      <c r="AK38" s="77"/>
      <c r="AL38" s="20"/>
      <c r="AM38" s="77"/>
      <c r="AN38" s="20"/>
      <c r="AO38" s="6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147"/>
      <c r="BP38" s="147"/>
      <c r="BQ38" s="147"/>
      <c r="BR38" s="147"/>
      <c r="BS38" s="147"/>
      <c r="BT38" s="147"/>
      <c r="BU38" s="147"/>
      <c r="BV38" s="147"/>
      <c r="BW38" s="147"/>
      <c r="BX38" s="147"/>
      <c r="BY38" s="147"/>
      <c r="BZ38" s="147"/>
      <c r="CA38" s="147"/>
      <c r="CB38" s="147"/>
      <c r="CC38" s="147"/>
      <c r="CD38" s="147"/>
      <c r="CE38" s="147"/>
      <c r="CF38" s="147"/>
      <c r="CG38" s="147"/>
    </row>
    <row r="39" spans="1:85" ht="30" customHeight="1">
      <c r="A39" s="13"/>
      <c r="B39" s="450" t="s">
        <v>4289</v>
      </c>
      <c r="C39" s="450"/>
      <c r="D39" s="450"/>
      <c r="E39" s="450"/>
      <c r="F39" s="450" t="s">
        <v>4290</v>
      </c>
      <c r="G39" s="450"/>
      <c r="H39" s="450" t="s">
        <v>4294</v>
      </c>
      <c r="I39" s="450"/>
      <c r="J39" s="450"/>
      <c r="K39" s="450"/>
      <c r="L39" s="450"/>
      <c r="M39" s="91" t="s">
        <v>4295</v>
      </c>
      <c r="N39" s="13"/>
      <c r="O39" s="13"/>
      <c r="P39" s="13"/>
      <c r="Q39" s="13"/>
      <c r="R39" s="13"/>
      <c r="S39" s="13"/>
      <c r="T39" s="13"/>
      <c r="U39" s="13"/>
      <c r="V39" s="13"/>
      <c r="W39" s="13"/>
      <c r="X39" s="13"/>
      <c r="Y39" s="13"/>
      <c r="Z39" s="13"/>
      <c r="AA39" s="13"/>
      <c r="AB39" s="13"/>
      <c r="AC39" s="13"/>
      <c r="AD39" s="13"/>
      <c r="AE39" s="13"/>
      <c r="AF39" s="20"/>
      <c r="AG39" s="20"/>
      <c r="AH39" s="20"/>
      <c r="AI39" s="76"/>
      <c r="AJ39" s="20"/>
      <c r="AK39" s="77"/>
      <c r="AL39" s="20"/>
      <c r="AM39" s="77"/>
      <c r="AN39" s="20"/>
      <c r="AO39" s="6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147"/>
      <c r="BP39" s="147"/>
      <c r="BQ39" s="147"/>
      <c r="BR39" s="147"/>
      <c r="BS39" s="147"/>
      <c r="BT39" s="147"/>
      <c r="BU39" s="147"/>
      <c r="BV39" s="147"/>
      <c r="BW39" s="147"/>
      <c r="BX39" s="147"/>
      <c r="BY39" s="147"/>
      <c r="BZ39" s="147"/>
      <c r="CA39" s="147"/>
      <c r="CB39" s="147"/>
      <c r="CC39" s="147"/>
      <c r="CD39" s="147"/>
      <c r="CE39" s="147"/>
      <c r="CF39" s="147"/>
      <c r="CG39" s="147"/>
    </row>
    <row r="40" spans="1:85" ht="30" customHeight="1">
      <c r="A40" s="13"/>
      <c r="B40" s="481" t="s">
        <v>4296</v>
      </c>
      <c r="C40" s="481"/>
      <c r="D40" s="481"/>
      <c r="E40" s="481"/>
      <c r="F40" s="483"/>
      <c r="G40" s="484"/>
      <c r="H40" s="518" t="s">
        <v>4293</v>
      </c>
      <c r="I40" s="518"/>
      <c r="J40" s="518"/>
      <c r="K40" s="518"/>
      <c r="L40" s="518"/>
      <c r="M40" s="142"/>
      <c r="N40" s="13"/>
      <c r="O40" s="13"/>
      <c r="P40" s="13"/>
      <c r="Q40" s="13"/>
      <c r="R40" s="13"/>
      <c r="S40" s="13"/>
      <c r="T40" s="13"/>
      <c r="U40" s="13"/>
      <c r="V40" s="13"/>
      <c r="W40" s="13"/>
      <c r="X40" s="13"/>
      <c r="Y40" s="13"/>
      <c r="Z40" s="13"/>
      <c r="AA40" s="13"/>
      <c r="AB40" s="13"/>
      <c r="AC40" s="13"/>
      <c r="AD40" s="13"/>
      <c r="AE40" s="13"/>
      <c r="AF40" s="20"/>
      <c r="AG40" s="20"/>
      <c r="AH40" s="20"/>
      <c r="AI40" s="76"/>
      <c r="AJ40" s="20"/>
      <c r="AK40" s="77"/>
      <c r="AL40" s="20"/>
      <c r="AM40" s="77"/>
      <c r="AN40" s="20"/>
      <c r="AO40" s="6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147"/>
      <c r="BP40" s="147"/>
      <c r="BQ40" s="147"/>
      <c r="BR40" s="147"/>
      <c r="BS40" s="147"/>
      <c r="BT40" s="147"/>
      <c r="BU40" s="147"/>
      <c r="BV40" s="147"/>
      <c r="BW40" s="147"/>
      <c r="BX40" s="147"/>
      <c r="BY40" s="147"/>
      <c r="BZ40" s="147"/>
      <c r="CA40" s="147"/>
      <c r="CB40" s="147"/>
      <c r="CC40" s="147"/>
      <c r="CD40" s="147"/>
      <c r="CE40" s="147"/>
      <c r="CF40" s="147"/>
      <c r="CG40" s="147"/>
    </row>
    <row r="41" spans="1:85" ht="30" customHeight="1">
      <c r="A41" s="13"/>
      <c r="B41" s="481"/>
      <c r="C41" s="481"/>
      <c r="D41" s="481"/>
      <c r="E41" s="481"/>
      <c r="F41" s="485"/>
      <c r="G41" s="486"/>
      <c r="H41" s="519" t="s">
        <v>4292</v>
      </c>
      <c r="I41" s="519"/>
      <c r="J41" s="519"/>
      <c r="K41" s="519"/>
      <c r="L41" s="519"/>
      <c r="M41" s="143"/>
      <c r="N41" s="13"/>
      <c r="O41" s="13"/>
      <c r="P41" s="13"/>
      <c r="Q41" s="13"/>
      <c r="R41" s="13"/>
      <c r="S41" s="13"/>
      <c r="T41" s="13"/>
      <c r="U41" s="13"/>
      <c r="V41" s="13"/>
      <c r="W41" s="13"/>
      <c r="X41" s="13"/>
      <c r="Y41" s="13"/>
      <c r="Z41" s="13"/>
      <c r="AA41" s="13"/>
      <c r="AB41" s="13"/>
      <c r="AC41" s="13"/>
      <c r="AD41" s="13"/>
      <c r="AE41" s="13"/>
      <c r="AF41" s="20"/>
      <c r="AG41" s="20"/>
      <c r="AH41" s="20"/>
      <c r="AI41" s="76"/>
      <c r="AJ41" s="20"/>
      <c r="AK41" s="77"/>
      <c r="AL41" s="20"/>
      <c r="AM41" s="77"/>
      <c r="AN41" s="20"/>
      <c r="AO41" s="6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147"/>
      <c r="BP41" s="147"/>
      <c r="BQ41" s="147"/>
      <c r="BR41" s="147"/>
      <c r="BS41" s="147"/>
      <c r="BT41" s="147"/>
      <c r="BU41" s="147"/>
      <c r="BV41" s="147"/>
      <c r="BW41" s="147"/>
      <c r="BX41" s="147"/>
      <c r="BY41" s="147"/>
      <c r="BZ41" s="147"/>
      <c r="CA41" s="147"/>
      <c r="CB41" s="147"/>
      <c r="CC41" s="147"/>
      <c r="CD41" s="147"/>
      <c r="CE41" s="147"/>
      <c r="CF41" s="147"/>
      <c r="CG41" s="147"/>
    </row>
    <row r="42" spans="1:85" ht="30" customHeight="1">
      <c r="A42" s="13"/>
      <c r="B42" s="481"/>
      <c r="C42" s="481"/>
      <c r="D42" s="481"/>
      <c r="E42" s="481"/>
      <c r="F42" s="487"/>
      <c r="G42" s="488"/>
      <c r="H42" s="519" t="s">
        <v>4291</v>
      </c>
      <c r="I42" s="519"/>
      <c r="J42" s="519"/>
      <c r="K42" s="519"/>
      <c r="L42" s="519"/>
      <c r="M42" s="143"/>
      <c r="N42" s="13"/>
      <c r="O42" s="13"/>
      <c r="P42" s="13"/>
      <c r="Q42" s="13"/>
      <c r="R42" s="13"/>
      <c r="S42" s="13"/>
      <c r="T42" s="13"/>
      <c r="U42" s="13"/>
      <c r="V42" s="13"/>
      <c r="W42" s="13"/>
      <c r="X42" s="13"/>
      <c r="Y42" s="13"/>
      <c r="Z42" s="13"/>
      <c r="AA42" s="13"/>
      <c r="AB42" s="13"/>
      <c r="AC42" s="13"/>
      <c r="AD42" s="13"/>
      <c r="AE42" s="13"/>
      <c r="AF42" s="20"/>
      <c r="AG42" s="20"/>
      <c r="AH42" s="20"/>
      <c r="AI42" s="76"/>
      <c r="AJ42" s="20"/>
      <c r="AK42" s="77"/>
      <c r="AL42" s="20"/>
      <c r="AM42" s="77"/>
      <c r="AN42" s="20"/>
      <c r="AO42" s="6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147"/>
      <c r="BP42" s="147"/>
      <c r="BQ42" s="147"/>
      <c r="BR42" s="147"/>
      <c r="BS42" s="147"/>
      <c r="BT42" s="147"/>
      <c r="BU42" s="147"/>
      <c r="BV42" s="147"/>
      <c r="BW42" s="147"/>
      <c r="BX42" s="147"/>
      <c r="BY42" s="147"/>
      <c r="BZ42" s="147"/>
      <c r="CA42" s="147"/>
      <c r="CB42" s="147"/>
      <c r="CC42" s="147"/>
      <c r="CD42" s="147"/>
      <c r="CE42" s="147"/>
      <c r="CF42" s="147"/>
      <c r="CG42" s="147"/>
    </row>
    <row r="43" spans="1:85" ht="30" customHeight="1">
      <c r="A43" s="13"/>
      <c r="B43" s="481" t="s">
        <v>4297</v>
      </c>
      <c r="C43" s="481"/>
      <c r="D43" s="481"/>
      <c r="E43" s="481"/>
      <c r="F43" s="483"/>
      <c r="G43" s="484"/>
      <c r="H43" s="518" t="s">
        <v>4293</v>
      </c>
      <c r="I43" s="518"/>
      <c r="J43" s="518"/>
      <c r="K43" s="518"/>
      <c r="L43" s="518"/>
      <c r="M43" s="143"/>
      <c r="N43" s="13"/>
      <c r="O43" s="13"/>
      <c r="P43" s="13"/>
      <c r="Q43" s="13"/>
      <c r="R43" s="13"/>
      <c r="S43" s="13"/>
      <c r="T43" s="13"/>
      <c r="U43" s="13"/>
      <c r="V43" s="13"/>
      <c r="W43" s="13"/>
      <c r="X43" s="13"/>
      <c r="Y43" s="13"/>
      <c r="Z43" s="13"/>
      <c r="AA43" s="13"/>
      <c r="AB43" s="13"/>
      <c r="AC43" s="13"/>
      <c r="AD43" s="13"/>
      <c r="AE43" s="13"/>
      <c r="AF43" s="20"/>
      <c r="AG43" s="20"/>
      <c r="AH43" s="20"/>
      <c r="AI43" s="76"/>
      <c r="AJ43" s="20"/>
      <c r="AK43" s="77"/>
      <c r="AL43" s="20"/>
      <c r="AM43" s="77"/>
      <c r="AN43" s="20"/>
      <c r="AO43" s="6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147"/>
      <c r="BP43" s="147"/>
      <c r="BQ43" s="147"/>
      <c r="BR43" s="147"/>
      <c r="BS43" s="147"/>
      <c r="BT43" s="147"/>
      <c r="BU43" s="147"/>
      <c r="BV43" s="147"/>
      <c r="BW43" s="147"/>
      <c r="BX43" s="147"/>
      <c r="BY43" s="147"/>
      <c r="BZ43" s="147"/>
      <c r="CA43" s="147"/>
      <c r="CB43" s="147"/>
      <c r="CC43" s="147"/>
      <c r="CD43" s="147"/>
      <c r="CE43" s="147"/>
      <c r="CF43" s="147"/>
      <c r="CG43" s="147"/>
    </row>
    <row r="44" spans="1:85" ht="30" customHeight="1">
      <c r="A44" s="13"/>
      <c r="B44" s="481"/>
      <c r="C44" s="481"/>
      <c r="D44" s="481"/>
      <c r="E44" s="481"/>
      <c r="F44" s="485"/>
      <c r="G44" s="486"/>
      <c r="H44" s="519" t="s">
        <v>4292</v>
      </c>
      <c r="I44" s="519"/>
      <c r="J44" s="519"/>
      <c r="K44" s="519"/>
      <c r="L44" s="519"/>
      <c r="M44" s="143"/>
      <c r="N44" s="13"/>
      <c r="O44" s="13"/>
      <c r="P44" s="13"/>
      <c r="Q44" s="13"/>
      <c r="R44" s="13"/>
      <c r="S44" s="13"/>
      <c r="T44" s="13"/>
      <c r="U44" s="13"/>
      <c r="V44" s="13"/>
      <c r="W44" s="13"/>
      <c r="X44" s="13"/>
      <c r="Y44" s="13"/>
      <c r="Z44" s="13"/>
      <c r="AA44" s="13"/>
      <c r="AB44" s="13"/>
      <c r="AC44" s="13"/>
      <c r="AD44" s="13"/>
      <c r="AE44" s="13"/>
      <c r="AF44" s="20"/>
      <c r="AG44" s="20"/>
      <c r="AH44" s="20"/>
      <c r="AI44" s="76"/>
      <c r="AJ44" s="20"/>
      <c r="AK44" s="77"/>
      <c r="AL44" s="20"/>
      <c r="AM44" s="77"/>
      <c r="AN44" s="20"/>
      <c r="AO44" s="6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147"/>
      <c r="BP44" s="147"/>
      <c r="BQ44" s="147"/>
      <c r="BR44" s="147"/>
      <c r="BS44" s="147"/>
      <c r="BT44" s="147"/>
      <c r="BU44" s="147"/>
      <c r="BV44" s="147"/>
      <c r="BW44" s="147"/>
      <c r="BX44" s="147"/>
      <c r="BY44" s="147"/>
      <c r="BZ44" s="147"/>
      <c r="CA44" s="147"/>
      <c r="CB44" s="147"/>
      <c r="CC44" s="147"/>
      <c r="CD44" s="147"/>
      <c r="CE44" s="147"/>
      <c r="CF44" s="147"/>
      <c r="CG44" s="147"/>
    </row>
    <row r="45" spans="1:85" ht="30" customHeight="1">
      <c r="A45" s="13"/>
      <c r="B45" s="481"/>
      <c r="C45" s="481"/>
      <c r="D45" s="481"/>
      <c r="E45" s="481"/>
      <c r="F45" s="487"/>
      <c r="G45" s="488"/>
      <c r="H45" s="519" t="s">
        <v>4291</v>
      </c>
      <c r="I45" s="519"/>
      <c r="J45" s="519"/>
      <c r="K45" s="519"/>
      <c r="L45" s="519"/>
      <c r="M45" s="143"/>
      <c r="N45" s="13"/>
      <c r="O45" s="13"/>
      <c r="P45" s="13"/>
      <c r="Q45" s="13"/>
      <c r="R45" s="13"/>
      <c r="S45" s="13"/>
      <c r="T45" s="13"/>
      <c r="U45" s="13"/>
      <c r="V45" s="13"/>
      <c r="W45" s="13"/>
      <c r="X45" s="13"/>
      <c r="Y45" s="13"/>
      <c r="Z45" s="13"/>
      <c r="AA45" s="13"/>
      <c r="AB45" s="13"/>
      <c r="AC45" s="13"/>
      <c r="AD45" s="13"/>
      <c r="AE45" s="13"/>
      <c r="AF45" s="20"/>
      <c r="AG45" s="20"/>
      <c r="AH45" s="20"/>
      <c r="AI45" s="76"/>
      <c r="AJ45" s="20"/>
      <c r="AK45" s="77"/>
      <c r="AL45" s="20"/>
      <c r="AM45" s="77"/>
      <c r="AN45" s="20"/>
      <c r="AO45" s="6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147"/>
      <c r="BP45" s="147"/>
      <c r="BQ45" s="147"/>
      <c r="BR45" s="147"/>
      <c r="BS45" s="147"/>
      <c r="BT45" s="147"/>
      <c r="BU45" s="147"/>
      <c r="BV45" s="147"/>
      <c r="BW45" s="147"/>
      <c r="BX45" s="147"/>
      <c r="BY45" s="147"/>
      <c r="BZ45" s="147"/>
      <c r="CA45" s="147"/>
      <c r="CB45" s="147"/>
      <c r="CC45" s="147"/>
      <c r="CD45" s="147"/>
      <c r="CE45" s="147"/>
      <c r="CF45" s="147"/>
      <c r="CG45" s="147"/>
    </row>
    <row r="46" spans="1:85" ht="30" customHeight="1">
      <c r="A46" s="13"/>
      <c r="B46" s="481" t="s">
        <v>4298</v>
      </c>
      <c r="C46" s="481"/>
      <c r="D46" s="481"/>
      <c r="E46" s="481"/>
      <c r="F46" s="483"/>
      <c r="G46" s="484"/>
      <c r="H46" s="518" t="s">
        <v>4293</v>
      </c>
      <c r="I46" s="518"/>
      <c r="J46" s="518"/>
      <c r="K46" s="518"/>
      <c r="L46" s="518"/>
      <c r="M46" s="143"/>
      <c r="N46" s="13"/>
      <c r="O46" s="13"/>
      <c r="P46" s="13"/>
      <c r="Q46" s="13"/>
      <c r="R46" s="13"/>
      <c r="S46" s="13"/>
      <c r="T46" s="13"/>
      <c r="U46" s="13"/>
      <c r="V46" s="13"/>
      <c r="W46" s="13"/>
      <c r="X46" s="13"/>
      <c r="Y46" s="13"/>
      <c r="Z46" s="13"/>
      <c r="AA46" s="13"/>
      <c r="AB46" s="13"/>
      <c r="AC46" s="13"/>
      <c r="AD46" s="13"/>
      <c r="AE46" s="13"/>
      <c r="AF46" s="20"/>
      <c r="AG46" s="20"/>
      <c r="AH46" s="20"/>
      <c r="AI46" s="76"/>
      <c r="AJ46" s="20"/>
      <c r="AK46" s="77"/>
      <c r="AL46" s="20"/>
      <c r="AM46" s="77"/>
      <c r="AN46" s="20"/>
      <c r="AO46" s="6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147"/>
      <c r="BP46" s="147"/>
      <c r="BQ46" s="147"/>
      <c r="BR46" s="147"/>
      <c r="BS46" s="147"/>
      <c r="BT46" s="147"/>
      <c r="BU46" s="147"/>
      <c r="BV46" s="147"/>
      <c r="BW46" s="147"/>
      <c r="BX46" s="147"/>
      <c r="BY46" s="147"/>
      <c r="BZ46" s="147"/>
      <c r="CA46" s="147"/>
      <c r="CB46" s="147"/>
      <c r="CC46" s="147"/>
      <c r="CD46" s="147"/>
      <c r="CE46" s="147"/>
      <c r="CF46" s="147"/>
      <c r="CG46" s="147"/>
    </row>
    <row r="47" spans="1:85" ht="30" customHeight="1" thickBot="1">
      <c r="A47" s="13"/>
      <c r="B47" s="482"/>
      <c r="C47" s="482"/>
      <c r="D47" s="482"/>
      <c r="E47" s="482"/>
      <c r="F47" s="489"/>
      <c r="G47" s="490"/>
      <c r="H47" s="520" t="s">
        <v>4292</v>
      </c>
      <c r="I47" s="520"/>
      <c r="J47" s="520"/>
      <c r="K47" s="520"/>
      <c r="L47" s="520"/>
      <c r="M47" s="144"/>
      <c r="N47" s="13"/>
      <c r="O47" s="13"/>
      <c r="P47" s="13"/>
      <c r="Q47" s="13"/>
      <c r="R47" s="13"/>
      <c r="S47" s="13"/>
      <c r="T47" s="13"/>
      <c r="U47" s="13"/>
      <c r="V47" s="13"/>
      <c r="W47" s="13"/>
      <c r="X47" s="13"/>
      <c r="Y47" s="13"/>
      <c r="Z47" s="13"/>
      <c r="AA47" s="13"/>
      <c r="AB47" s="13"/>
      <c r="AC47" s="13"/>
      <c r="AD47" s="13"/>
      <c r="AE47" s="13"/>
      <c r="AF47" s="20"/>
      <c r="AG47" s="20"/>
      <c r="AH47" s="20"/>
      <c r="AI47" s="76"/>
      <c r="AJ47" s="20"/>
      <c r="AK47" s="77"/>
      <c r="AL47" s="20"/>
      <c r="AM47" s="77"/>
      <c r="AN47" s="20"/>
      <c r="AO47" s="6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147"/>
      <c r="BP47" s="147"/>
      <c r="BQ47" s="147"/>
      <c r="BR47" s="147"/>
      <c r="BS47" s="147"/>
      <c r="BT47" s="147"/>
      <c r="BU47" s="147"/>
      <c r="BV47" s="147"/>
      <c r="BW47" s="147"/>
      <c r="BX47" s="147"/>
      <c r="BY47" s="147"/>
      <c r="BZ47" s="147"/>
      <c r="CA47" s="147"/>
      <c r="CB47" s="147"/>
      <c r="CC47" s="147"/>
      <c r="CD47" s="147"/>
      <c r="CE47" s="147"/>
      <c r="CF47" s="147"/>
      <c r="CG47" s="147"/>
    </row>
    <row r="48" spans="1:85" ht="30" customHeight="1" thickTop="1">
      <c r="A48" s="13"/>
      <c r="B48" s="566" t="s">
        <v>23</v>
      </c>
      <c r="C48" s="566"/>
      <c r="D48" s="566"/>
      <c r="E48" s="566"/>
      <c r="F48" s="567" t="str">
        <f>IF(COUNTBLANK(F40:G47)=16,"",SUM(F40:G47))</f>
        <v/>
      </c>
      <c r="G48" s="568"/>
      <c r="H48" s="566" t="s">
        <v>23</v>
      </c>
      <c r="I48" s="566"/>
      <c r="J48" s="566"/>
      <c r="K48" s="566"/>
      <c r="L48" s="566"/>
      <c r="M48" s="146" t="str">
        <f>IF(COUNTBLANK(M40:M47)=8,"",SUM(M40:M47))</f>
        <v/>
      </c>
      <c r="N48" s="13"/>
      <c r="O48" s="13"/>
      <c r="P48" s="13"/>
      <c r="Q48" s="13"/>
      <c r="R48" s="13"/>
      <c r="S48" s="13"/>
      <c r="T48" s="13"/>
      <c r="U48" s="13"/>
      <c r="V48" s="13"/>
      <c r="W48" s="13"/>
      <c r="X48" s="13"/>
      <c r="Y48" s="13"/>
      <c r="Z48" s="13"/>
      <c r="AA48" s="13"/>
      <c r="AB48" s="13"/>
      <c r="AC48" s="13"/>
      <c r="AD48" s="13"/>
      <c r="AE48" s="13"/>
      <c r="AF48" s="20"/>
      <c r="AG48" s="20"/>
      <c r="AH48" s="20"/>
      <c r="AI48" s="76"/>
      <c r="AJ48" s="20"/>
      <c r="AK48" s="77"/>
      <c r="AL48" s="20"/>
      <c r="AM48" s="77"/>
      <c r="AN48" s="20"/>
      <c r="AO48" s="6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147"/>
      <c r="BP48" s="147"/>
      <c r="BQ48" s="147"/>
      <c r="BR48" s="147"/>
      <c r="BS48" s="147"/>
      <c r="BT48" s="147"/>
      <c r="BU48" s="147"/>
      <c r="BV48" s="147"/>
      <c r="BW48" s="147"/>
      <c r="BX48" s="147"/>
      <c r="BY48" s="147"/>
      <c r="BZ48" s="147"/>
      <c r="CA48" s="147"/>
      <c r="CB48" s="147"/>
      <c r="CC48" s="147"/>
      <c r="CD48" s="147"/>
      <c r="CE48" s="147"/>
      <c r="CF48" s="147"/>
      <c r="CG48" s="147"/>
    </row>
    <row r="49" spans="1:85" ht="20.45" customHeight="1">
      <c r="A49" s="13"/>
      <c r="B49" s="13"/>
      <c r="C49" s="13"/>
      <c r="D49" s="13"/>
      <c r="E49" s="13"/>
      <c r="F49" s="13"/>
      <c r="G49" s="13"/>
      <c r="H49" s="13"/>
      <c r="I49" s="13"/>
      <c r="J49" s="81"/>
      <c r="K49" s="81"/>
      <c r="L49" s="13"/>
      <c r="M49" s="13"/>
      <c r="N49" s="13"/>
      <c r="O49" s="13"/>
      <c r="P49" s="13"/>
      <c r="Q49" s="13"/>
      <c r="R49" s="13"/>
      <c r="S49" s="13"/>
      <c r="T49" s="13"/>
      <c r="U49" s="13"/>
      <c r="V49" s="13"/>
      <c r="W49" s="13"/>
      <c r="X49" s="13"/>
      <c r="Y49" s="13"/>
      <c r="Z49" s="13"/>
      <c r="AA49" s="13"/>
      <c r="AB49" s="13"/>
      <c r="AC49" s="13"/>
      <c r="AD49" s="13"/>
      <c r="AE49" s="13"/>
      <c r="AF49" s="20"/>
      <c r="AG49" s="20"/>
      <c r="AH49" s="20"/>
      <c r="AI49" s="76"/>
      <c r="AJ49" s="20"/>
      <c r="AK49" s="77"/>
      <c r="AL49" s="20"/>
      <c r="AM49" s="77"/>
      <c r="AN49" s="20"/>
      <c r="AO49" s="6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147"/>
      <c r="BP49" s="147"/>
      <c r="BQ49" s="147"/>
      <c r="BR49" s="147"/>
      <c r="BS49" s="147"/>
      <c r="BT49" s="147"/>
      <c r="BU49" s="147"/>
      <c r="BV49" s="147"/>
      <c r="BW49" s="147"/>
      <c r="BX49" s="147"/>
      <c r="BY49" s="147"/>
      <c r="BZ49" s="147"/>
      <c r="CA49" s="147"/>
      <c r="CB49" s="147"/>
      <c r="CC49" s="147"/>
      <c r="CD49" s="147"/>
      <c r="CE49" s="147"/>
      <c r="CF49" s="147"/>
      <c r="CG49" s="147"/>
    </row>
    <row r="50" spans="1:85" ht="30.6" customHeight="1">
      <c r="A50" s="13"/>
      <c r="B50" s="384" t="s">
        <v>4134</v>
      </c>
      <c r="C50" s="384"/>
      <c r="D50" s="384"/>
      <c r="E50" s="384"/>
      <c r="F50" s="384"/>
      <c r="G50" s="384"/>
      <c r="H50" s="139" t="s">
        <v>4288</v>
      </c>
      <c r="I50" s="13"/>
      <c r="J50" s="81"/>
      <c r="K50" s="81"/>
      <c r="L50" s="13"/>
      <c r="M50" s="13"/>
      <c r="N50" s="13"/>
      <c r="O50" s="13"/>
      <c r="P50" s="13"/>
      <c r="Q50" s="13"/>
      <c r="R50" s="13"/>
      <c r="S50" s="13"/>
      <c r="T50" s="13"/>
      <c r="U50" s="13"/>
      <c r="V50" s="13"/>
      <c r="W50" s="13"/>
      <c r="X50" s="13"/>
      <c r="Y50" s="13"/>
      <c r="Z50" s="13"/>
      <c r="AA50" s="13"/>
      <c r="AB50" s="13"/>
      <c r="AC50" s="13"/>
      <c r="AD50" s="13"/>
      <c r="AE50" s="13"/>
      <c r="AF50" s="20"/>
      <c r="AG50" s="20"/>
      <c r="AH50" s="20"/>
      <c r="AI50" s="76"/>
      <c r="AJ50" s="20"/>
      <c r="AK50" s="77"/>
      <c r="AL50" s="20"/>
      <c r="AM50" s="77"/>
      <c r="AN50" s="20"/>
      <c r="AO50" s="6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row>
    <row r="51" spans="1:85" ht="3.6" customHeight="1">
      <c r="A51" s="13"/>
      <c r="B51" s="13"/>
      <c r="C51" s="13"/>
      <c r="D51" s="13"/>
      <c r="E51" s="13"/>
      <c r="F51" s="13"/>
      <c r="G51" s="13"/>
      <c r="H51" s="13"/>
      <c r="I51" s="13"/>
      <c r="J51" s="81"/>
      <c r="K51" s="81"/>
      <c r="L51" s="13"/>
      <c r="M51" s="13"/>
      <c r="N51" s="13"/>
      <c r="O51" s="13"/>
      <c r="P51" s="13"/>
      <c r="Q51" s="13"/>
      <c r="R51" s="13"/>
      <c r="S51" s="13"/>
      <c r="T51" s="13"/>
      <c r="U51" s="13"/>
      <c r="V51" s="13"/>
      <c r="W51" s="13"/>
      <c r="X51" s="13"/>
      <c r="Y51" s="13"/>
      <c r="Z51" s="13"/>
      <c r="AA51" s="13"/>
      <c r="AB51" s="13"/>
      <c r="AC51" s="13"/>
      <c r="AD51" s="13"/>
      <c r="AE51" s="13"/>
      <c r="AF51" s="20"/>
      <c r="AG51" s="20"/>
      <c r="AH51" s="20"/>
      <c r="AI51" s="76"/>
      <c r="AJ51" s="20"/>
      <c r="AK51" s="77"/>
      <c r="AL51" s="20"/>
      <c r="AM51" s="77"/>
      <c r="AN51" s="20"/>
      <c r="AO51" s="6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row>
    <row r="52" spans="1:85" ht="29.45" customHeight="1">
      <c r="A52" s="13"/>
      <c r="B52" s="577" t="s">
        <v>4135</v>
      </c>
      <c r="C52" s="578"/>
      <c r="D52" s="579"/>
      <c r="E52" s="519" t="str">
        <f>基本設定シート!$C$8&amp;"年度 温室効果ガス排出量の削減目標"</f>
        <v>2028年度 温室効果ガス排出量の削減目標</v>
      </c>
      <c r="F52" s="519"/>
      <c r="G52" s="519"/>
      <c r="H52" s="519"/>
      <c r="I52" s="519"/>
      <c r="J52" s="524" t="str">
        <f>IF(OR(基本設定シート!$B$11=基本設定シート!$C$6,基本設定シート!$B$11=基本設定シート!$C$7),IF('入力シート（2028年度提出用）'!M61="","",'入力シート（2028年度提出用）'!M61),IF(基本設定シート!$B$11=基本設定シート!$C$8,IF('入力シート（2026年度提出用）'!M61="","",'入力シート（2026年度提出用）'!M61),""))</f>
        <v/>
      </c>
      <c r="K52" s="525"/>
      <c r="L52" s="63" t="s">
        <v>4083</v>
      </c>
      <c r="M52" s="13"/>
      <c r="N52" s="585" t="s">
        <v>4136</v>
      </c>
      <c r="O52" s="519" t="str">
        <f>基本設定シート!$C$8&amp;"年度 温室効果ガス排出量の削減実績"</f>
        <v>2028年度 温室効果ガス排出量の削減実績</v>
      </c>
      <c r="P52" s="519"/>
      <c r="Q52" s="519"/>
      <c r="R52" s="519"/>
      <c r="S52" s="519"/>
      <c r="T52" s="528" t="str">
        <f>IFERROR((AJ52-T53)/AJ52*100,"")</f>
        <v/>
      </c>
      <c r="U52" s="529"/>
      <c r="V52" s="63" t="str">
        <f>IF(T52&lt;0,"%増加","%削減")</f>
        <v>%削減</v>
      </c>
      <c r="W52" s="13"/>
      <c r="X52" s="13"/>
      <c r="Y52" s="13"/>
      <c r="Z52" s="13"/>
      <c r="AA52" s="13"/>
      <c r="AB52" s="13"/>
      <c r="AC52" s="13"/>
      <c r="AD52" s="13"/>
      <c r="AE52" s="13"/>
      <c r="AF52" s="20"/>
      <c r="AG52" s="20"/>
      <c r="AH52" s="20"/>
      <c r="AI52" s="78" t="s">
        <v>4138</v>
      </c>
      <c r="AJ52" s="79" t="str">
        <f>IF(OR(基本設定シート!$B$11=基本設定シート!$C$6,基本設定シート!$B$11=基本設定シート!$C$7),'入力シート（2028年度提出用）'!X29,IF(基本設定シート!$B$11=基本設定シート!$C$8,'入力シート（2026年度提出用）'!X29,""))</f>
        <v/>
      </c>
      <c r="AK52" s="80" t="s">
        <v>29</v>
      </c>
      <c r="AL52" s="20"/>
      <c r="AM52" s="77"/>
      <c r="AN52" s="20"/>
      <c r="AO52" s="6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row>
    <row r="53" spans="1:85" ht="29.45" customHeight="1">
      <c r="A53" s="13"/>
      <c r="B53" s="580"/>
      <c r="C53" s="581"/>
      <c r="D53" s="582"/>
      <c r="E53" s="519" t="str">
        <f>基本設定シート!$C$8&amp;"年度 目標排出量"</f>
        <v>2028年度 目標排出量</v>
      </c>
      <c r="F53" s="519"/>
      <c r="G53" s="519"/>
      <c r="H53" s="519"/>
      <c r="I53" s="519"/>
      <c r="J53" s="526" t="str">
        <f>IF(OR(基本設定シート!$B$11=基本設定シート!$C$6,基本設定シート!$B$11=基本設定シート!$C$7),'入力シート（2028年度提出用）'!AB61,IF(基本設定シート!$B$11=基本設定シート!$C$8,'入力シート（2026年度提出用）'!AB61,""))</f>
        <v/>
      </c>
      <c r="K53" s="527"/>
      <c r="L53" s="63" t="s">
        <v>29</v>
      </c>
      <c r="M53" s="13"/>
      <c r="N53" s="585"/>
      <c r="O53" s="519" t="str">
        <f>基本設定シート!$C$8&amp;"年度 排出量"</f>
        <v>2028年度 排出量</v>
      </c>
      <c r="P53" s="519"/>
      <c r="Q53" s="519"/>
      <c r="R53" s="519"/>
      <c r="S53" s="519"/>
      <c r="T53" s="526" t="str">
        <f>X29</f>
        <v/>
      </c>
      <c r="U53" s="527"/>
      <c r="V53" s="63" t="s">
        <v>29</v>
      </c>
      <c r="W53" s="13"/>
      <c r="X53" s="13"/>
      <c r="Y53" s="13"/>
      <c r="Z53" s="15"/>
      <c r="AA53" s="13"/>
      <c r="AB53" s="13"/>
      <c r="AC53" s="13"/>
      <c r="AD53" s="13"/>
      <c r="AE53" s="13"/>
      <c r="AF53" s="20"/>
      <c r="AG53" s="20"/>
      <c r="AH53" s="20"/>
      <c r="AI53" s="76"/>
      <c r="AJ53" s="20"/>
      <c r="AK53" s="77"/>
      <c r="AL53" s="20"/>
      <c r="AM53" s="77"/>
      <c r="AN53" s="20"/>
      <c r="AO53" s="6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row>
    <row r="54" spans="1:85" ht="6.6" customHeight="1">
      <c r="A54" s="13"/>
      <c r="B54" s="13"/>
      <c r="C54" s="13"/>
      <c r="D54" s="13"/>
      <c r="E54" s="13"/>
      <c r="F54" s="13"/>
      <c r="G54" s="13"/>
      <c r="H54" s="13"/>
      <c r="I54" s="13"/>
      <c r="J54" s="81"/>
      <c r="K54" s="81"/>
      <c r="L54" s="13"/>
      <c r="M54" s="13"/>
      <c r="N54" s="13"/>
      <c r="O54" s="13"/>
      <c r="P54" s="13"/>
      <c r="Q54" s="13"/>
      <c r="R54" s="13"/>
      <c r="S54" s="13"/>
      <c r="T54" s="13"/>
      <c r="U54" s="13"/>
      <c r="V54" s="13"/>
      <c r="W54" s="13"/>
      <c r="X54" s="13"/>
      <c r="Y54" s="13"/>
      <c r="Z54" s="13"/>
      <c r="AA54" s="13"/>
      <c r="AB54" s="13"/>
      <c r="AC54" s="13"/>
      <c r="AD54" s="13"/>
      <c r="AE54" s="13"/>
      <c r="AF54" s="20"/>
      <c r="AG54" s="20"/>
      <c r="AH54" s="20"/>
      <c r="AI54" s="76"/>
      <c r="AJ54" s="20"/>
      <c r="AK54" s="77"/>
      <c r="AL54" s="20"/>
      <c r="AM54" s="77"/>
      <c r="AN54" s="20"/>
      <c r="AO54" s="6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row>
    <row r="55" spans="1:85" ht="108.95" customHeight="1">
      <c r="A55" s="13"/>
      <c r="B55" s="560" t="s">
        <v>4137</v>
      </c>
      <c r="C55" s="561"/>
      <c r="D55" s="561"/>
      <c r="E55" s="562"/>
      <c r="F55" s="563" t="s">
        <v>4300</v>
      </c>
      <c r="G55" s="564"/>
      <c r="H55" s="564"/>
      <c r="I55" s="564"/>
      <c r="J55" s="564"/>
      <c r="K55" s="564"/>
      <c r="L55" s="564"/>
      <c r="M55" s="564"/>
      <c r="N55" s="564"/>
      <c r="O55" s="564"/>
      <c r="P55" s="564"/>
      <c r="Q55" s="564"/>
      <c r="R55" s="564"/>
      <c r="S55" s="564"/>
      <c r="T55" s="564"/>
      <c r="U55" s="564"/>
      <c r="V55" s="565"/>
      <c r="W55" s="13"/>
      <c r="X55" s="13"/>
      <c r="Y55" s="13"/>
      <c r="Z55" s="13"/>
      <c r="AA55" s="13"/>
      <c r="AB55" s="13"/>
      <c r="AC55" s="13"/>
      <c r="AD55" s="13"/>
      <c r="AE55" s="13"/>
      <c r="AF55" s="20"/>
      <c r="AG55" s="20"/>
      <c r="AH55" s="20"/>
      <c r="AI55" s="76"/>
      <c r="AJ55" s="20"/>
      <c r="AK55" s="77"/>
      <c r="AL55" s="20"/>
      <c r="AM55" s="77"/>
      <c r="AN55" s="20"/>
      <c r="AO55" s="6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row>
    <row r="56" spans="1:85" ht="20.4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row>
    <row r="57" spans="1:85" ht="35.25" customHeight="1">
      <c r="A57" s="23" t="s">
        <v>4282</v>
      </c>
      <c r="B57" s="2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20"/>
      <c r="AG57" s="20"/>
      <c r="AH57" s="20"/>
      <c r="AI57" s="20"/>
      <c r="AJ57" s="20"/>
      <c r="AK57" s="20"/>
      <c r="AL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row>
    <row r="58" spans="1:85" ht="4.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20"/>
      <c r="AG58" s="20"/>
      <c r="AH58" s="20"/>
      <c r="AI58" s="20"/>
      <c r="AJ58" s="20"/>
      <c r="AK58" s="20"/>
      <c r="AL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row>
    <row r="59" spans="1:85" ht="30" customHeight="1">
      <c r="A59" s="13"/>
      <c r="B59" s="384" t="s">
        <v>4224</v>
      </c>
      <c r="C59" s="384"/>
      <c r="D59" s="384"/>
      <c r="E59" s="384"/>
      <c r="F59" s="384"/>
      <c r="G59" s="38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20"/>
      <c r="AG59" s="20"/>
      <c r="AH59" s="20"/>
      <c r="AI59" s="20"/>
      <c r="AJ59" s="20"/>
      <c r="AK59" s="20"/>
      <c r="AL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row>
    <row r="60" spans="1:85" ht="4.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20"/>
      <c r="AG60" s="20"/>
      <c r="AH60" s="20"/>
      <c r="AI60" s="20"/>
      <c r="AJ60" s="20"/>
      <c r="AK60" s="20"/>
      <c r="AL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row>
    <row r="61" spans="1:85" ht="41.1" customHeight="1">
      <c r="A61" s="13"/>
      <c r="B61" s="27"/>
      <c r="C61" s="421" t="str">
        <f>基本設定シート!C8+1&amp;"年度 温室効果ガス排出量の削減目標"</f>
        <v>2029年度 温室効果ガス排出量の削減目標</v>
      </c>
      <c r="D61" s="421"/>
      <c r="E61" s="421"/>
      <c r="F61" s="421"/>
      <c r="G61" s="421"/>
      <c r="H61" s="421"/>
      <c r="I61" s="422"/>
      <c r="J61" s="417" t="str">
        <f>基本設定シート!C8&amp;"年度と比べて"</f>
        <v>2028年度と比べて</v>
      </c>
      <c r="K61" s="418"/>
      <c r="L61" s="418"/>
      <c r="M61" s="420"/>
      <c r="N61" s="420"/>
      <c r="O61" s="415" t="s">
        <v>4083</v>
      </c>
      <c r="P61" s="416"/>
      <c r="Q61" s="13"/>
      <c r="R61" s="85" t="s">
        <v>4084</v>
      </c>
      <c r="S61" s="419" t="str">
        <f>基本設定シート!C8&amp;"年度"</f>
        <v>2028年度</v>
      </c>
      <c r="T61" s="419"/>
      <c r="U61" s="400" t="str">
        <f>X29</f>
        <v/>
      </c>
      <c r="V61" s="401"/>
      <c r="W61" s="63" t="s">
        <v>29</v>
      </c>
      <c r="X61" s="13"/>
      <c r="Y61" s="85" t="s">
        <v>4085</v>
      </c>
      <c r="Z61" s="419" t="str">
        <f>基本設定シート!C8+1&amp;"年度"</f>
        <v>2029年度</v>
      </c>
      <c r="AA61" s="419"/>
      <c r="AB61" s="413" t="str">
        <f>IF(M61="","",ROUNDDOWN(U61*(100-M61)/100,1))</f>
        <v/>
      </c>
      <c r="AC61" s="414"/>
      <c r="AD61" s="63" t="s">
        <v>29</v>
      </c>
      <c r="AE61" s="13"/>
      <c r="AF61" s="20"/>
      <c r="AG61" s="20"/>
      <c r="AH61" s="20"/>
      <c r="AI61" s="20"/>
      <c r="AJ61" s="20"/>
      <c r="AK61" s="20"/>
      <c r="AL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row>
    <row r="62" spans="1:85" ht="20.4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20"/>
      <c r="AG62" s="20"/>
      <c r="AH62" s="20"/>
      <c r="AI62" s="20"/>
      <c r="AJ62" s="20"/>
      <c r="AK62" s="20"/>
      <c r="AL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row>
    <row r="63" spans="1:85" ht="35.25" customHeight="1">
      <c r="A63" s="23" t="s">
        <v>4225</v>
      </c>
      <c r="B63" s="23"/>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20"/>
      <c r="AG63" s="20"/>
      <c r="AH63" s="20"/>
      <c r="AI63" s="20"/>
      <c r="AJ63" s="20"/>
      <c r="AK63" s="20"/>
      <c r="AL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row>
    <row r="64" spans="1:85" ht="4.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20"/>
      <c r="AG64" s="20"/>
      <c r="AH64" s="20"/>
      <c r="AI64" s="20"/>
      <c r="AJ64" s="20"/>
      <c r="AK64" s="20"/>
      <c r="AL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row>
    <row r="65" spans="1:85" ht="30" customHeight="1">
      <c r="A65" s="13"/>
      <c r="B65" s="390" t="s">
        <v>4095</v>
      </c>
      <c r="C65" s="390"/>
      <c r="D65" s="390"/>
      <c r="E65" s="390"/>
      <c r="F65" s="390"/>
      <c r="G65" s="390"/>
      <c r="H65" s="390"/>
      <c r="I65" s="390"/>
      <c r="J65" s="390"/>
      <c r="K65" s="390"/>
      <c r="L65" s="390"/>
      <c r="M65" s="390"/>
      <c r="N65" s="390" t="s">
        <v>4283</v>
      </c>
      <c r="O65" s="390"/>
      <c r="P65" s="390"/>
      <c r="Q65" s="390"/>
      <c r="R65" s="390"/>
      <c r="S65" s="390"/>
      <c r="T65" s="390"/>
      <c r="U65" s="390" t="s">
        <v>4284</v>
      </c>
      <c r="V65" s="390"/>
      <c r="W65" s="390"/>
      <c r="X65" s="390"/>
      <c r="Y65" s="390"/>
      <c r="Z65" s="390"/>
      <c r="AA65" s="390"/>
      <c r="AB65" s="390"/>
      <c r="AC65" s="390"/>
      <c r="AD65" s="390"/>
      <c r="AE65" s="13"/>
      <c r="AF65" s="20"/>
      <c r="AG65" s="20"/>
      <c r="AH65" s="20"/>
      <c r="AI65" s="6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85" ht="6.6" customHeight="1">
      <c r="A66" s="13"/>
      <c r="B66" s="35"/>
      <c r="C66" s="64"/>
      <c r="D66" s="64"/>
      <c r="E66" s="43"/>
      <c r="F66" s="65"/>
      <c r="G66" s="65"/>
      <c r="H66" s="65"/>
      <c r="I66" s="43"/>
      <c r="J66" s="43"/>
      <c r="K66" s="43"/>
      <c r="L66" s="43"/>
      <c r="M66" s="36"/>
      <c r="N66" s="35"/>
      <c r="O66" s="43"/>
      <c r="P66" s="43"/>
      <c r="Q66" s="43"/>
      <c r="R66" s="43"/>
      <c r="S66" s="43"/>
      <c r="T66" s="36"/>
      <c r="U66" s="35"/>
      <c r="V66" s="43"/>
      <c r="W66" s="43"/>
      <c r="X66" s="43"/>
      <c r="Y66" s="43"/>
      <c r="Z66" s="43"/>
      <c r="AA66" s="43"/>
      <c r="AB66" s="43"/>
      <c r="AC66" s="43"/>
      <c r="AD66" s="36"/>
      <c r="AE66" s="13"/>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row>
    <row r="67" spans="1:85" ht="31.5" customHeight="1">
      <c r="A67" s="13"/>
      <c r="B67" s="59"/>
      <c r="C67" s="395" t="s">
        <v>4286</v>
      </c>
      <c r="D67" s="395"/>
      <c r="E67" s="395"/>
      <c r="F67" s="395"/>
      <c r="G67" s="395"/>
      <c r="H67" s="395"/>
      <c r="I67" s="13"/>
      <c r="J67" s="13"/>
      <c r="K67" s="13"/>
      <c r="L67" s="13"/>
      <c r="M67" s="44"/>
      <c r="N67" s="136"/>
      <c r="O67" s="13"/>
      <c r="P67" s="13"/>
      <c r="Q67" s="13"/>
      <c r="R67" s="13"/>
      <c r="S67" s="13"/>
      <c r="T67" s="138" t="s">
        <v>4287</v>
      </c>
      <c r="U67" s="136"/>
      <c r="V67" s="13"/>
      <c r="W67" s="13"/>
      <c r="X67" s="13"/>
      <c r="Y67" s="13"/>
      <c r="Z67" s="13"/>
      <c r="AA67" s="13"/>
      <c r="AB67" s="13"/>
      <c r="AC67" s="13"/>
      <c r="AD67" s="138" t="s">
        <v>4285</v>
      </c>
      <c r="AE67" s="13"/>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row>
    <row r="68" spans="1:85" ht="12" customHeight="1">
      <c r="A68" s="13"/>
      <c r="B68" s="59"/>
      <c r="C68" s="13"/>
      <c r="D68" s="13"/>
      <c r="E68" s="13"/>
      <c r="F68" s="66"/>
      <c r="G68" s="66"/>
      <c r="H68" s="66"/>
      <c r="I68" s="13"/>
      <c r="J68" s="13"/>
      <c r="K68" s="13"/>
      <c r="L68" s="13"/>
      <c r="M68" s="44"/>
      <c r="N68" s="59"/>
      <c r="O68" s="13"/>
      <c r="P68" s="13"/>
      <c r="Q68" s="13"/>
      <c r="R68" s="13"/>
      <c r="S68" s="13"/>
      <c r="T68" s="44"/>
      <c r="U68" s="59"/>
      <c r="V68" s="13"/>
      <c r="W68" s="13"/>
      <c r="X68" s="13"/>
      <c r="Y68" s="13"/>
      <c r="Z68" s="13"/>
      <c r="AA68" s="13"/>
      <c r="AB68" s="13"/>
      <c r="AC68" s="13"/>
      <c r="AD68" s="44"/>
      <c r="AE68" s="13"/>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row>
    <row r="69" spans="1:85" ht="26.1" customHeight="1">
      <c r="A69" s="13"/>
      <c r="B69" s="59"/>
      <c r="C69" s="13"/>
      <c r="D69" s="13"/>
      <c r="E69" s="13"/>
      <c r="F69" s="66"/>
      <c r="G69" s="66"/>
      <c r="H69" s="66"/>
      <c r="I69" s="13"/>
      <c r="J69" s="13"/>
      <c r="K69" s="13"/>
      <c r="L69" s="13"/>
      <c r="M69" s="44"/>
      <c r="N69" s="59"/>
      <c r="O69" s="13"/>
      <c r="P69" s="13"/>
      <c r="Q69" s="13"/>
      <c r="R69" s="13"/>
      <c r="S69" s="13"/>
      <c r="T69" s="44"/>
      <c r="U69" s="59"/>
      <c r="V69" s="13"/>
      <c r="W69" s="13"/>
      <c r="X69" s="13"/>
      <c r="Y69" s="13"/>
      <c r="Z69" s="13"/>
      <c r="AA69" s="13"/>
      <c r="AB69" s="13"/>
      <c r="AC69" s="13"/>
      <c r="AD69" s="44"/>
      <c r="AE69" s="13"/>
      <c r="AF69" s="20"/>
      <c r="AG69" s="20"/>
      <c r="AH69" s="20"/>
      <c r="AI69" s="61" t="s">
        <v>4107</v>
      </c>
      <c r="AJ69" s="20"/>
      <c r="AK69" s="20"/>
      <c r="AL69" s="20"/>
      <c r="AM69" s="20"/>
      <c r="AN69" s="20"/>
      <c r="AO69" s="20"/>
      <c r="AP69" s="20"/>
      <c r="AQ69" s="20"/>
      <c r="AR69" s="20"/>
      <c r="AS69" s="20"/>
      <c r="AT69" s="20"/>
      <c r="AU69" s="61" t="str">
        <f>C67</f>
        <v>【車両】ガソリン</v>
      </c>
      <c r="AV69" s="20" t="s">
        <v>4116</v>
      </c>
      <c r="AW69" s="20"/>
      <c r="AX69" s="20" t="s">
        <v>4117</v>
      </c>
      <c r="AY69" s="20" t="str">
        <f>"["&amp;AV73&amp;"]"</f>
        <v>[リットル]</v>
      </c>
      <c r="AZ69" s="20" t="s">
        <v>4118</v>
      </c>
      <c r="BA69" s="20" t="str">
        <f>"["&amp;AV74&amp;"]"</f>
        <v>[円]</v>
      </c>
      <c r="BB69" s="20"/>
      <c r="BC69" s="20"/>
      <c r="BD69" s="20"/>
      <c r="BE69" s="20"/>
      <c r="BF69" s="20"/>
      <c r="BG69" s="20"/>
      <c r="BH69" s="20"/>
      <c r="BI69" s="20"/>
      <c r="BJ69" s="20"/>
      <c r="BK69" s="20"/>
      <c r="BL69" s="20"/>
      <c r="BM69" s="20"/>
      <c r="BN69" s="20"/>
      <c r="BO69" s="20"/>
      <c r="BP69" s="20"/>
      <c r="BQ69" s="20"/>
    </row>
    <row r="70" spans="1:85" ht="26.1" customHeight="1">
      <c r="A70" s="13"/>
      <c r="B70" s="59"/>
      <c r="C70" s="13"/>
      <c r="D70" s="13"/>
      <c r="E70" s="13"/>
      <c r="F70" s="66"/>
      <c r="G70" s="66"/>
      <c r="H70" s="66"/>
      <c r="I70" s="13"/>
      <c r="J70" s="13"/>
      <c r="K70" s="13"/>
      <c r="L70" s="13"/>
      <c r="M70" s="44"/>
      <c r="N70" s="59"/>
      <c r="O70" s="13"/>
      <c r="P70" s="13"/>
      <c r="Q70" s="13"/>
      <c r="R70" s="13"/>
      <c r="S70" s="13"/>
      <c r="T70" s="44"/>
      <c r="U70" s="59"/>
      <c r="V70" s="13"/>
      <c r="W70" s="13"/>
      <c r="X70" s="13"/>
      <c r="Y70" s="13"/>
      <c r="Z70" s="13"/>
      <c r="AA70" s="13"/>
      <c r="AB70" s="13"/>
      <c r="AC70" s="13"/>
      <c r="AD70" s="44"/>
      <c r="AE70" s="13"/>
      <c r="AF70" s="20"/>
      <c r="AG70" s="20"/>
      <c r="AH70" s="20"/>
      <c r="AI70" s="383"/>
      <c r="AJ70" s="383"/>
      <c r="AK70" s="383"/>
      <c r="AL70" s="383" t="s">
        <v>4108</v>
      </c>
      <c r="AM70" s="383"/>
      <c r="AN70" s="20"/>
      <c r="AO70" s="20"/>
      <c r="AP70" s="20"/>
      <c r="AQ70" s="20"/>
      <c r="AR70" s="20"/>
      <c r="AS70" s="20"/>
      <c r="AT70" s="20"/>
      <c r="AU70" s="24"/>
      <c r="AV70" s="41" t="s">
        <v>9</v>
      </c>
      <c r="AW70" s="41" t="s">
        <v>10</v>
      </c>
      <c r="AX70" s="41" t="s">
        <v>11</v>
      </c>
      <c r="AY70" s="41" t="s">
        <v>12</v>
      </c>
      <c r="AZ70" s="41" t="s">
        <v>13</v>
      </c>
      <c r="BA70" s="41" t="s">
        <v>14</v>
      </c>
      <c r="BB70" s="41" t="s">
        <v>15</v>
      </c>
      <c r="BC70" s="41" t="s">
        <v>16</v>
      </c>
      <c r="BD70" s="41" t="s">
        <v>17</v>
      </c>
      <c r="BE70" s="41" t="s">
        <v>18</v>
      </c>
      <c r="BF70" s="41" t="s">
        <v>19</v>
      </c>
      <c r="BG70" s="41" t="s">
        <v>20</v>
      </c>
      <c r="BH70" s="41" t="s">
        <v>21</v>
      </c>
      <c r="BI70" s="20"/>
      <c r="BJ70" s="20"/>
      <c r="BK70" s="20"/>
      <c r="BL70" s="20"/>
      <c r="BM70" s="20"/>
      <c r="BN70" s="20"/>
      <c r="BO70" s="20"/>
      <c r="BP70" s="20"/>
      <c r="BQ70" s="20"/>
    </row>
    <row r="71" spans="1:85" ht="26.1" customHeight="1">
      <c r="A71" s="13"/>
      <c r="B71" s="59"/>
      <c r="C71" s="13"/>
      <c r="D71" s="13"/>
      <c r="E71" s="13"/>
      <c r="F71" s="66"/>
      <c r="G71" s="66"/>
      <c r="H71" s="66"/>
      <c r="I71" s="13"/>
      <c r="J71" s="13"/>
      <c r="K71" s="13"/>
      <c r="L71" s="13"/>
      <c r="M71" s="44"/>
      <c r="N71" s="59"/>
      <c r="O71" s="13"/>
      <c r="P71" s="13"/>
      <c r="Q71" s="13"/>
      <c r="R71" s="13"/>
      <c r="S71" s="13"/>
      <c r="T71" s="44"/>
      <c r="U71" s="59"/>
      <c r="V71" s="13"/>
      <c r="W71" s="13"/>
      <c r="X71" s="13"/>
      <c r="Y71" s="13"/>
      <c r="Z71" s="13"/>
      <c r="AA71" s="13"/>
      <c r="AB71" s="13"/>
      <c r="AC71" s="13"/>
      <c r="AD71" s="44"/>
      <c r="AE71" s="13"/>
      <c r="AF71" s="20"/>
      <c r="AG71" s="20"/>
      <c r="AH71" s="20"/>
      <c r="AI71" s="398" t="str">
        <f t="shared" ref="AI71:AI76" si="45">E23</f>
        <v>ガソリン</v>
      </c>
      <c r="AJ71" s="398"/>
      <c r="AK71" s="398"/>
      <c r="AL71" s="399" t="e">
        <f t="shared" ref="AL71:AL76" si="46">IF(OR(BI23="",BI23=0),NA(),BI23)</f>
        <v>#N/A</v>
      </c>
      <c r="AM71" s="399"/>
      <c r="AN71" s="20"/>
      <c r="AO71" s="20"/>
      <c r="AP71" s="20"/>
      <c r="AQ71" s="20"/>
      <c r="AR71" s="20"/>
      <c r="AS71" s="20"/>
      <c r="AT71" s="20"/>
      <c r="AU71" s="48" t="str">
        <f>基本設定シート!$C$8-1&amp;"年度（使用量）"</f>
        <v>2027年度（使用量）</v>
      </c>
      <c r="AV71" s="49" t="str">
        <f>IFERROR(IF(OR(基本設定シート!$B$11=基本設定シート!$C$6,基本設定シート!$B$11=基本設定シート!$C$7),INDEX('入力シート（2028年度提出用）'!AV23:AV34,MATCH($AU$69,'入力シート（2028年度提出用）'!$AU$23:$AU$34,0)),IF(基本設定シート!$B$11=基本設定シート!$C$8,INDEX('入力シート（2026年度提出用）'!AV23:AV34,MATCH($AU$69,'入力シート（2026年度提出用）'!$AU$23:$AU$34,0)))),"")</f>
        <v>リットル</v>
      </c>
      <c r="AW71" s="49">
        <f>IFERROR(IF(OR(基本設定シート!$B$11=基本設定シート!$C$6,基本設定シート!$B$11=基本設定シート!$C$7),INDEX('入力シート（2028年度提出用）'!AW23:AW34,MATCH($AU$69,'入力シート（2028年度提出用）'!$AU$23:$AU$34,0)),IF(基本設定シート!$B$11=基本設定シート!$C$8,INDEX('入力シート（2026年度提出用）'!AW23:AW34,MATCH($AU$69,'入力シート（2026年度提出用）'!$AU$23:$AU$34,0)))),"")</f>
        <v>0</v>
      </c>
      <c r="AX71" s="49">
        <f>IFERROR(IF(OR(基本設定シート!$B$11=基本設定シート!$C$6,基本設定シート!$B$11=基本設定シート!$C$7),INDEX('入力シート（2028年度提出用）'!AX23:AX34,MATCH($AU$69,'入力シート（2028年度提出用）'!$AU$23:$AU$34,0)),IF(基本設定シート!$B$11=基本設定シート!$C$8,INDEX('入力シート（2026年度提出用）'!AX23:AX34,MATCH($AU$69,'入力シート（2026年度提出用）'!$AU$23:$AU$34,0)))),"")</f>
        <v>0</v>
      </c>
      <c r="AY71" s="49">
        <f>IFERROR(IF(OR(基本設定シート!$B$11=基本設定シート!$C$6,基本設定シート!$B$11=基本設定シート!$C$7),INDEX('入力シート（2028年度提出用）'!AY23:AY34,MATCH($AU$69,'入力シート（2028年度提出用）'!$AU$23:$AU$34,0)),IF(基本設定シート!$B$11=基本設定シート!$C$8,INDEX('入力シート（2026年度提出用）'!AY23:AY34,MATCH($AU$69,'入力シート（2026年度提出用）'!$AU$23:$AU$34,0)))),"")</f>
        <v>0</v>
      </c>
      <c r="AZ71" s="49">
        <f>IFERROR(IF(OR(基本設定シート!$B$11=基本設定シート!$C$6,基本設定シート!$B$11=基本設定シート!$C$7),INDEX('入力シート（2028年度提出用）'!AZ23:AZ34,MATCH($AU$69,'入力シート（2028年度提出用）'!$AU$23:$AU$34,0)),IF(基本設定シート!$B$11=基本設定シート!$C$8,INDEX('入力シート（2026年度提出用）'!AZ23:AZ34,MATCH($AU$69,'入力シート（2026年度提出用）'!$AU$23:$AU$34,0)))),"")</f>
        <v>0</v>
      </c>
      <c r="BA71" s="49">
        <f>IFERROR(IF(OR(基本設定シート!$B$11=基本設定シート!$C$6,基本設定シート!$B$11=基本設定シート!$C$7),INDEX('入力シート（2028年度提出用）'!BA23:BA34,MATCH($AU$69,'入力シート（2028年度提出用）'!$AU$23:$AU$34,0)),IF(基本設定シート!$B$11=基本設定シート!$C$8,INDEX('入力シート（2026年度提出用）'!BA23:BA34,MATCH($AU$69,'入力シート（2026年度提出用）'!$AU$23:$AU$34,0)))),"")</f>
        <v>0</v>
      </c>
      <c r="BB71" s="49">
        <f>IFERROR(IF(OR(基本設定シート!$B$11=基本設定シート!$C$6,基本設定シート!$B$11=基本設定シート!$C$7),INDEX('入力シート（2028年度提出用）'!BB23:BB34,MATCH($AU$69,'入力シート（2028年度提出用）'!$AU$23:$AU$34,0)),IF(基本設定シート!$B$11=基本設定シート!$C$8,INDEX('入力シート（2026年度提出用）'!BB23:BB34,MATCH($AU$69,'入力シート（2026年度提出用）'!$AU$23:$AU$34,0)))),"")</f>
        <v>0</v>
      </c>
      <c r="BC71" s="49">
        <f>IFERROR(IF(OR(基本設定シート!$B$11=基本設定シート!$C$6,基本設定シート!$B$11=基本設定シート!$C$7),INDEX('入力シート（2028年度提出用）'!BC23:BC34,MATCH($AU$69,'入力シート（2028年度提出用）'!$AU$23:$AU$34,0)),IF(基本設定シート!$B$11=基本設定シート!$C$8,INDEX('入力シート（2026年度提出用）'!BC23:BC34,MATCH($AU$69,'入力シート（2026年度提出用）'!$AU$23:$AU$34,0)))),"")</f>
        <v>0</v>
      </c>
      <c r="BD71" s="49">
        <f>IFERROR(IF(OR(基本設定シート!$B$11=基本設定シート!$C$6,基本設定シート!$B$11=基本設定シート!$C$7),INDEX('入力シート（2028年度提出用）'!BD23:BD34,MATCH($AU$69,'入力シート（2028年度提出用）'!$AU$23:$AU$34,0)),IF(基本設定シート!$B$11=基本設定シート!$C$8,INDEX('入力シート（2026年度提出用）'!BD23:BD34,MATCH($AU$69,'入力シート（2026年度提出用）'!$AU$23:$AU$34,0)))),"")</f>
        <v>0</v>
      </c>
      <c r="BE71" s="49">
        <f>IFERROR(IF(OR(基本設定シート!$B$11=基本設定シート!$C$6,基本設定シート!$B$11=基本設定シート!$C$7),INDEX('入力シート（2028年度提出用）'!BE23:BE34,MATCH($AU$69,'入力シート（2028年度提出用）'!$AU$23:$AU$34,0)),IF(基本設定シート!$B$11=基本設定シート!$C$8,INDEX('入力シート（2026年度提出用）'!BE23:BE34,MATCH($AU$69,'入力シート（2026年度提出用）'!$AU$23:$AU$34,0)))),"")</f>
        <v>0</v>
      </c>
      <c r="BF71" s="49">
        <f>IFERROR(IF(OR(基本設定シート!$B$11=基本設定シート!$C$6,基本設定シート!$B$11=基本設定シート!$C$7),INDEX('入力シート（2028年度提出用）'!BF23:BF34,MATCH($AU$69,'入力シート（2028年度提出用）'!$AU$23:$AU$34,0)),IF(基本設定シート!$B$11=基本設定シート!$C$8,INDEX('入力シート（2026年度提出用）'!BF23:BF34,MATCH($AU$69,'入力シート（2026年度提出用）'!$AU$23:$AU$34,0)))),"")</f>
        <v>0</v>
      </c>
      <c r="BG71" s="49">
        <f>IFERROR(IF(OR(基本設定シート!$B$11=基本設定シート!$C$6,基本設定シート!$B$11=基本設定シート!$C$7),INDEX('入力シート（2028年度提出用）'!BG23:BG34,MATCH($AU$69,'入力シート（2028年度提出用）'!$AU$23:$AU$34,0)),IF(基本設定シート!$B$11=基本設定シート!$C$8,INDEX('入力シート（2026年度提出用）'!BG23:BG34,MATCH($AU$69,'入力シート（2026年度提出用）'!$AU$23:$AU$34,0)))),"")</f>
        <v>0</v>
      </c>
      <c r="BH71" s="49">
        <f>IFERROR(IF(OR(基本設定シート!$B$11=基本設定シート!$C$6,基本設定シート!$B$11=基本設定シート!$C$7),INDEX('入力シート（2028年度提出用）'!BH23:BH34,MATCH($AU$69,'入力シート（2028年度提出用）'!$AU$23:$AU$34,0)),IF(基本設定シート!$B$11=基本設定シート!$C$8,INDEX('入力シート（2026年度提出用）'!BH23:BH34,MATCH($AU$69,'入力シート（2026年度提出用）'!$AU$23:$AU$34,0)))),"")</f>
        <v>0</v>
      </c>
      <c r="BI71" s="20"/>
      <c r="BJ71" s="20"/>
      <c r="BK71" s="20"/>
      <c r="BL71" s="20"/>
      <c r="BM71" s="20"/>
      <c r="BN71" s="20"/>
      <c r="BO71" s="20"/>
      <c r="BP71" s="20"/>
      <c r="BQ71" s="20"/>
    </row>
    <row r="72" spans="1:85" ht="26.1" customHeight="1">
      <c r="A72" s="13"/>
      <c r="B72" s="59"/>
      <c r="C72" s="13"/>
      <c r="D72" s="13"/>
      <c r="E72" s="13"/>
      <c r="F72" s="66"/>
      <c r="G72" s="66"/>
      <c r="H72" s="66"/>
      <c r="I72" s="13"/>
      <c r="J72" s="13"/>
      <c r="K72" s="13"/>
      <c r="L72" s="13"/>
      <c r="M72" s="44"/>
      <c r="N72" s="59"/>
      <c r="O72" s="13"/>
      <c r="P72" s="13"/>
      <c r="Q72" s="13"/>
      <c r="R72" s="13"/>
      <c r="S72" s="13"/>
      <c r="T72" s="44"/>
      <c r="U72" s="59"/>
      <c r="V72" s="13"/>
      <c r="W72" s="13"/>
      <c r="X72" s="13"/>
      <c r="Y72" s="13"/>
      <c r="Z72" s="13"/>
      <c r="AA72" s="13"/>
      <c r="AB72" s="13"/>
      <c r="AC72" s="13"/>
      <c r="AD72" s="44"/>
      <c r="AE72" s="13"/>
      <c r="AF72" s="20"/>
      <c r="AG72" s="20"/>
      <c r="AH72" s="20"/>
      <c r="AI72" s="398" t="str">
        <f t="shared" si="45"/>
        <v>軽油</v>
      </c>
      <c r="AJ72" s="398"/>
      <c r="AK72" s="398"/>
      <c r="AL72" s="399" t="e">
        <f t="shared" si="46"/>
        <v>#N/A</v>
      </c>
      <c r="AM72" s="399"/>
      <c r="AN72" s="20"/>
      <c r="AO72" s="20"/>
      <c r="AP72" s="20"/>
      <c r="AQ72" s="20"/>
      <c r="AR72" s="20"/>
      <c r="AS72" s="60"/>
      <c r="AT72" s="20"/>
      <c r="AU72" s="48" t="str">
        <f>基本設定シート!$C$8-1&amp;"年度（料金）"</f>
        <v>2027年度（料金）</v>
      </c>
      <c r="AV72" s="49" t="str">
        <f>IFERROR(IF(OR(基本設定シート!$B$11=基本設定シート!$C$6,基本設定シート!$B$11=基本設定シート!$C$7),INDEX('入力シート（2028年度提出用）'!BS23:BS34,MATCH($AU$69,'入力シート（2028年度提出用）'!$AU$23:$AU$34,0)),IF(基本設定シート!$B$11=基本設定シート!$C$8,INDEX('入力シート（2026年度提出用）'!BS23:BS34,MATCH($AU$69,'入力シート（2026年度提出用）'!$AU$23:$AU$34,0)))),"")</f>
        <v>円</v>
      </c>
      <c r="AW72" s="49" t="e">
        <f>IF(OR(基本設定シート!$B$11=基本設定シート!$C$6,基本設定シート!$B$11=基本設定シート!$C$7),IF(INDEX('入力シート（2028年度提出用）'!BT23:BT34,MATCH($AU$69,'入力シート（2028年度提出用）'!$AU$23:$AU$34,0))="",NA(),INDEX('入力シート（2028年度提出用）'!BT23:BT34,MATCH($AU$69,'入力シート（2028年度提出用）'!$AU$23:$AU$34,0))),IF(基本設定シート!$B$11=基本設定シート!$C$8,IF(INDEX('入力シート（2026年度提出用）'!BT23:BT34,MATCH($AU$69,'入力シート（2026年度提出用）'!$AU$23:$AU$34,0))="",NA(),INDEX('入力シート（2026年度提出用）'!BT23:BT34,MATCH($AU$69,'入力シート（2026年度提出用）'!$AU$23:$AU$34,0)))))</f>
        <v>#N/A</v>
      </c>
      <c r="AX72" s="49" t="e">
        <f>IF(OR(基本設定シート!$B$11=基本設定シート!$C$6,基本設定シート!$B$11=基本設定シート!$C$7),IF(INDEX('入力シート（2028年度提出用）'!BU23:BU34,MATCH($AU$69,'入力シート（2028年度提出用）'!$AU$23:$AU$34,0))="",NA(),INDEX('入力シート（2028年度提出用）'!BU23:BU34,MATCH($AU$69,'入力シート（2028年度提出用）'!$AU$23:$AU$34,0))),IF(基本設定シート!$B$11=基本設定シート!$C$8,IF(INDEX('入力シート（2026年度提出用）'!BU23:BU34,MATCH($AU$69,'入力シート（2026年度提出用）'!$AU$23:$AU$34,0))="",NA(),INDEX('入力シート（2026年度提出用）'!BU23:BU34,MATCH($AU$69,'入力シート（2026年度提出用）'!$AU$23:$AU$34,0)))))</f>
        <v>#N/A</v>
      </c>
      <c r="AY72" s="49" t="e">
        <f>IF(OR(基本設定シート!$B$11=基本設定シート!$C$6,基本設定シート!$B$11=基本設定シート!$C$7),IF(INDEX('入力シート（2028年度提出用）'!BV23:BV34,MATCH($AU$69,'入力シート（2028年度提出用）'!$AU$23:$AU$34,0))="",NA(),INDEX('入力シート（2028年度提出用）'!BV23:BV34,MATCH($AU$69,'入力シート（2028年度提出用）'!$AU$23:$AU$34,0))),IF(基本設定シート!$B$11=基本設定シート!$C$8,IF(INDEX('入力シート（2026年度提出用）'!BV23:BV34,MATCH($AU$69,'入力シート（2026年度提出用）'!$AU$23:$AU$34,0))="",NA(),INDEX('入力シート（2026年度提出用）'!BV23:BV34,MATCH($AU$69,'入力シート（2026年度提出用）'!$AU$23:$AU$34,0)))))</f>
        <v>#N/A</v>
      </c>
      <c r="AZ72" s="49" t="e">
        <f>IF(OR(基本設定シート!$B$11=基本設定シート!$C$6,基本設定シート!$B$11=基本設定シート!$C$7),IF(INDEX('入力シート（2028年度提出用）'!BW23:BW34,MATCH($AU$69,'入力シート（2028年度提出用）'!$AU$23:$AU$34,0))="",NA(),INDEX('入力シート（2028年度提出用）'!BW23:BW34,MATCH($AU$69,'入力シート（2028年度提出用）'!$AU$23:$AU$34,0))),IF(基本設定シート!$B$11=基本設定シート!$C$8,IF(INDEX('入力シート（2026年度提出用）'!BW23:BW34,MATCH($AU$69,'入力シート（2026年度提出用）'!$AU$23:$AU$34,0))="",NA(),INDEX('入力シート（2026年度提出用）'!BW23:BW34,MATCH($AU$69,'入力シート（2026年度提出用）'!$AU$23:$AU$34,0)))))</f>
        <v>#N/A</v>
      </c>
      <c r="BA72" s="49" t="e">
        <f>IF(OR(基本設定シート!$B$11=基本設定シート!$C$6,基本設定シート!$B$11=基本設定シート!$C$7),IF(INDEX('入力シート（2028年度提出用）'!BX23:BX34,MATCH($AU$69,'入力シート（2028年度提出用）'!$AU$23:$AU$34,0))="",NA(),INDEX('入力シート（2028年度提出用）'!BX23:BX34,MATCH($AU$69,'入力シート（2028年度提出用）'!$AU$23:$AU$34,0))),IF(基本設定シート!$B$11=基本設定シート!$C$8,IF(INDEX('入力シート（2026年度提出用）'!BX23:BX34,MATCH($AU$69,'入力シート（2026年度提出用）'!$AU$23:$AU$34,0))="",NA(),INDEX('入力シート（2026年度提出用）'!BX23:BX34,MATCH($AU$69,'入力シート（2026年度提出用）'!$AU$23:$AU$34,0)))))</f>
        <v>#N/A</v>
      </c>
      <c r="BB72" s="49" t="e">
        <f>IF(OR(基本設定シート!$B$11=基本設定シート!$C$6,基本設定シート!$B$11=基本設定シート!$C$7),IF(INDEX('入力シート（2028年度提出用）'!BY23:BY34,MATCH($AU$69,'入力シート（2028年度提出用）'!$AU$23:$AU$34,0))="",NA(),INDEX('入力シート（2028年度提出用）'!BY23:BY34,MATCH($AU$69,'入力シート（2028年度提出用）'!$AU$23:$AU$34,0))),IF(基本設定シート!$B$11=基本設定シート!$C$8,IF(INDEX('入力シート（2026年度提出用）'!BY23:BY34,MATCH($AU$69,'入力シート（2026年度提出用）'!$AU$23:$AU$34,0))="",NA(),INDEX('入力シート（2026年度提出用）'!BY23:BY34,MATCH($AU$69,'入力シート（2026年度提出用）'!$AU$23:$AU$34,0)))))</f>
        <v>#N/A</v>
      </c>
      <c r="BC72" s="49" t="e">
        <f>IF(OR(基本設定シート!$B$11=基本設定シート!$C$6,基本設定シート!$B$11=基本設定シート!$C$7),IF(INDEX('入力シート（2028年度提出用）'!BZ23:BZ34,MATCH($AU$69,'入力シート（2028年度提出用）'!$AU$23:$AU$34,0))="",NA(),INDEX('入力シート（2028年度提出用）'!BZ23:BZ34,MATCH($AU$69,'入力シート（2028年度提出用）'!$AU$23:$AU$34,0))),IF(基本設定シート!$B$11=基本設定シート!$C$8,IF(INDEX('入力シート（2026年度提出用）'!BZ23:BZ34,MATCH($AU$69,'入力シート（2026年度提出用）'!$AU$23:$AU$34,0))="",NA(),INDEX('入力シート（2026年度提出用）'!BZ23:BZ34,MATCH($AU$69,'入力シート（2026年度提出用）'!$AU$23:$AU$34,0)))))</f>
        <v>#N/A</v>
      </c>
      <c r="BD72" s="49" t="e">
        <f>IF(OR(基本設定シート!$B$11=基本設定シート!$C$6,基本設定シート!$B$11=基本設定シート!$C$7),IF(INDEX('入力シート（2028年度提出用）'!CA23:CA34,MATCH($AU$69,'入力シート（2028年度提出用）'!$AU$23:$AU$34,0))="",NA(),INDEX('入力シート（2028年度提出用）'!CA23:CA34,MATCH($AU$69,'入力シート（2028年度提出用）'!$AU$23:$AU$34,0))),IF(基本設定シート!$B$11=基本設定シート!$C$8,IF(INDEX('入力シート（2026年度提出用）'!CA23:CA34,MATCH($AU$69,'入力シート（2026年度提出用）'!$AU$23:$AU$34,0))="",NA(),INDEX('入力シート（2026年度提出用）'!CA23:CA34,MATCH($AU$69,'入力シート（2026年度提出用）'!$AU$23:$AU$34,0)))))</f>
        <v>#N/A</v>
      </c>
      <c r="BE72" s="49" t="e">
        <f>IF(OR(基本設定シート!$B$11=基本設定シート!$C$6,基本設定シート!$B$11=基本設定シート!$C$7),IF(INDEX('入力シート（2028年度提出用）'!CB23:CB34,MATCH($AU$69,'入力シート（2028年度提出用）'!$AU$23:$AU$34,0))="",NA(),INDEX('入力シート（2028年度提出用）'!CB23:CB34,MATCH($AU$69,'入力シート（2028年度提出用）'!$AU$23:$AU$34,0))),IF(基本設定シート!$B$11=基本設定シート!$C$8,IF(INDEX('入力シート（2026年度提出用）'!CB23:CB34,MATCH($AU$69,'入力シート（2026年度提出用）'!$AU$23:$AU$34,0))="",NA(),INDEX('入力シート（2026年度提出用）'!CB23:CB34,MATCH($AU$69,'入力シート（2026年度提出用）'!$AU$23:$AU$34,0)))))</f>
        <v>#N/A</v>
      </c>
      <c r="BF72" s="49" t="e">
        <f>IF(OR(基本設定シート!$B$11=基本設定シート!$C$6,基本設定シート!$B$11=基本設定シート!$C$7),IF(INDEX('入力シート（2028年度提出用）'!CC23:CC34,MATCH($AU$69,'入力シート（2028年度提出用）'!$AU$23:$AU$34,0))="",NA(),INDEX('入力シート（2028年度提出用）'!CC23:CC34,MATCH($AU$69,'入力シート（2028年度提出用）'!$AU$23:$AU$34,0))),IF(基本設定シート!$B$11=基本設定シート!$C$8,IF(INDEX('入力シート（2026年度提出用）'!CC23:CC34,MATCH($AU$69,'入力シート（2026年度提出用）'!$AU$23:$AU$34,0))="",NA(),INDEX('入力シート（2026年度提出用）'!CC23:CC34,MATCH($AU$69,'入力シート（2026年度提出用）'!$AU$23:$AU$34,0)))))</f>
        <v>#N/A</v>
      </c>
      <c r="BG72" s="49" t="e">
        <f>IF(OR(基本設定シート!$B$11=基本設定シート!$C$6,基本設定シート!$B$11=基本設定シート!$C$7),IF(INDEX('入力シート（2028年度提出用）'!CD23:CD34,MATCH($AU$69,'入力シート（2028年度提出用）'!$AU$23:$AU$34,0))="",NA(),INDEX('入力シート（2028年度提出用）'!CD23:CD34,MATCH($AU$69,'入力シート（2028年度提出用）'!$AU$23:$AU$34,0))),IF(基本設定シート!$B$11=基本設定シート!$C$8,IF(INDEX('入力シート（2026年度提出用）'!CD23:CD34,MATCH($AU$69,'入力シート（2026年度提出用）'!$AU$23:$AU$34,0))="",NA(),INDEX('入力シート（2026年度提出用）'!CD23:CD34,MATCH($AU$69,'入力シート（2026年度提出用）'!$AU$23:$AU$34,0)))))</f>
        <v>#N/A</v>
      </c>
      <c r="BH72" s="49" t="e">
        <f>IF(OR(基本設定シート!$B$11=基本設定シート!$C$6,基本設定シート!$B$11=基本設定シート!$C$7),IF(INDEX('入力シート（2028年度提出用）'!CE23:CE34,MATCH($AU$69,'入力シート（2028年度提出用）'!$AU$23:$AU$34,0))="",NA(),INDEX('入力シート（2028年度提出用）'!CE23:CE34,MATCH($AU$69,'入力シート（2028年度提出用）'!$AU$23:$AU$34,0))),IF(基本設定シート!$B$11=基本設定シート!$C$8,IF(INDEX('入力シート（2026年度提出用）'!CE23:CE34,MATCH($AU$69,'入力シート（2026年度提出用）'!$AU$23:$AU$34,0))="",NA(),INDEX('入力シート（2026年度提出用）'!CE23:CE34,MATCH($AU$69,'入力シート（2026年度提出用）'!$AU$23:$AU$34,0)))))</f>
        <v>#N/A</v>
      </c>
      <c r="BI72" s="20"/>
      <c r="BJ72" s="20"/>
      <c r="BK72" s="20"/>
      <c r="BL72" s="20"/>
      <c r="BM72" s="20"/>
      <c r="BN72" s="20"/>
      <c r="BO72" s="20"/>
      <c r="BP72" s="20"/>
      <c r="BQ72" s="20"/>
    </row>
    <row r="73" spans="1:85" ht="26.1" customHeight="1">
      <c r="A73" s="13"/>
      <c r="B73" s="59"/>
      <c r="C73" s="13"/>
      <c r="D73" s="13"/>
      <c r="E73" s="13"/>
      <c r="F73" s="66"/>
      <c r="G73" s="66"/>
      <c r="H73" s="66"/>
      <c r="I73" s="13"/>
      <c r="J73" s="13"/>
      <c r="K73" s="13"/>
      <c r="L73" s="13"/>
      <c r="M73" s="44"/>
      <c r="N73" s="59"/>
      <c r="O73" s="13"/>
      <c r="P73" s="13"/>
      <c r="Q73" s="13"/>
      <c r="R73" s="13"/>
      <c r="S73" s="13"/>
      <c r="T73" s="44"/>
      <c r="U73" s="59"/>
      <c r="V73" s="13"/>
      <c r="W73" s="13"/>
      <c r="X73" s="13"/>
      <c r="Y73" s="13"/>
      <c r="Z73" s="13"/>
      <c r="AA73" s="13"/>
      <c r="AB73" s="13"/>
      <c r="AC73" s="13"/>
      <c r="AD73" s="44"/>
      <c r="AE73" s="13"/>
      <c r="AF73" s="20"/>
      <c r="AG73" s="20"/>
      <c r="AH73" s="20"/>
      <c r="AI73" s="398" t="str">
        <f t="shared" si="45"/>
        <v>液化石油ガス(LPG)</v>
      </c>
      <c r="AJ73" s="398"/>
      <c r="AK73" s="398"/>
      <c r="AL73" s="399" t="e">
        <f t="shared" si="46"/>
        <v>#N/A</v>
      </c>
      <c r="AM73" s="399"/>
      <c r="AN73" s="20"/>
      <c r="AO73" s="20"/>
      <c r="AP73" s="20"/>
      <c r="AQ73" s="20"/>
      <c r="AR73" s="20"/>
      <c r="AS73" s="20"/>
      <c r="AT73" s="20"/>
      <c r="AU73" s="48" t="str">
        <f>基本設定シート!$C$8&amp;"年度（使用量）"</f>
        <v>2028年度（使用量）</v>
      </c>
      <c r="AV73" s="49" t="str">
        <f t="shared" ref="AV73:BH73" si="47">IFERROR(INDEX(AV23:AV34,MATCH($AU$69,$AU$23:$AU$34,0)),"")</f>
        <v>リットル</v>
      </c>
      <c r="AW73" s="49">
        <f t="shared" si="47"/>
        <v>0</v>
      </c>
      <c r="AX73" s="49">
        <f t="shared" si="47"/>
        <v>0</v>
      </c>
      <c r="AY73" s="49">
        <f t="shared" si="47"/>
        <v>0</v>
      </c>
      <c r="AZ73" s="49">
        <f t="shared" si="47"/>
        <v>0</v>
      </c>
      <c r="BA73" s="49">
        <f t="shared" si="47"/>
        <v>0</v>
      </c>
      <c r="BB73" s="49">
        <f t="shared" si="47"/>
        <v>0</v>
      </c>
      <c r="BC73" s="49">
        <f t="shared" si="47"/>
        <v>0</v>
      </c>
      <c r="BD73" s="49">
        <f t="shared" si="47"/>
        <v>0</v>
      </c>
      <c r="BE73" s="49">
        <f t="shared" si="47"/>
        <v>0</v>
      </c>
      <c r="BF73" s="49">
        <f t="shared" si="47"/>
        <v>0</v>
      </c>
      <c r="BG73" s="49">
        <f t="shared" si="47"/>
        <v>0</v>
      </c>
      <c r="BH73" s="49">
        <f t="shared" si="47"/>
        <v>0</v>
      </c>
      <c r="BI73" s="20"/>
      <c r="BJ73" s="20"/>
      <c r="BK73" s="20"/>
      <c r="BL73" s="20"/>
      <c r="BM73" s="20"/>
      <c r="BN73" s="20"/>
      <c r="BO73" s="20"/>
      <c r="BP73" s="20"/>
      <c r="BQ73" s="20"/>
    </row>
    <row r="74" spans="1:85" ht="26.1" customHeight="1">
      <c r="A74" s="13"/>
      <c r="B74" s="59"/>
      <c r="C74" s="13"/>
      <c r="D74" s="13"/>
      <c r="E74" s="13"/>
      <c r="F74" s="66"/>
      <c r="G74" s="66"/>
      <c r="H74" s="66"/>
      <c r="I74" s="13"/>
      <c r="J74" s="13"/>
      <c r="K74" s="13"/>
      <c r="L74" s="13"/>
      <c r="M74" s="44"/>
      <c r="N74" s="59"/>
      <c r="O74" s="13"/>
      <c r="P74" s="13"/>
      <c r="Q74" s="13"/>
      <c r="R74" s="13"/>
      <c r="S74" s="13"/>
      <c r="T74" s="44"/>
      <c r="U74" s="59"/>
      <c r="V74" s="13"/>
      <c r="W74" s="13"/>
      <c r="X74" s="13"/>
      <c r="Y74" s="13"/>
      <c r="Z74" s="13"/>
      <c r="AA74" s="13"/>
      <c r="AB74" s="13"/>
      <c r="AC74" s="13"/>
      <c r="AD74" s="44"/>
      <c r="AE74" s="13"/>
      <c r="AF74" s="20"/>
      <c r="AG74" s="20"/>
      <c r="AH74" s="20"/>
      <c r="AI74" s="398" t="str">
        <f t="shared" si="45"/>
        <v>電気（充電）</v>
      </c>
      <c r="AJ74" s="398"/>
      <c r="AK74" s="398"/>
      <c r="AL74" s="399" t="e">
        <f t="shared" si="46"/>
        <v>#N/A</v>
      </c>
      <c r="AM74" s="399"/>
      <c r="AN74" s="20"/>
      <c r="AO74" s="20"/>
      <c r="AP74" s="20"/>
      <c r="AQ74" s="20"/>
      <c r="AR74" s="20"/>
      <c r="AS74" s="20"/>
      <c r="AT74" s="20"/>
      <c r="AU74" s="48" t="str">
        <f>基本設定シート!$C$8&amp;"年度（料金）"</f>
        <v>2028年度（料金）</v>
      </c>
      <c r="AV74" s="49" t="str">
        <f>IFERROR(INDEX(BS23:BS34,MATCH($AU$69,$AU$23:$AU$34,0)),"")</f>
        <v>円</v>
      </c>
      <c r="AW74" s="49" t="e">
        <f t="shared" ref="AW74:BH74" si="48">IF(INDEX(BT23:BT34,MATCH($AU$69,$AU$23:$AU$34,0))="",NA(),INDEX(BT23:BT34,MATCH($AU$69,$AU$23:$AU$34,0)))</f>
        <v>#N/A</v>
      </c>
      <c r="AX74" s="49" t="e">
        <f t="shared" si="48"/>
        <v>#N/A</v>
      </c>
      <c r="AY74" s="49" t="e">
        <f t="shared" si="48"/>
        <v>#N/A</v>
      </c>
      <c r="AZ74" s="49" t="e">
        <f t="shared" si="48"/>
        <v>#N/A</v>
      </c>
      <c r="BA74" s="49" t="e">
        <f t="shared" si="48"/>
        <v>#N/A</v>
      </c>
      <c r="BB74" s="49" t="e">
        <f t="shared" si="48"/>
        <v>#N/A</v>
      </c>
      <c r="BC74" s="49" t="e">
        <f t="shared" si="48"/>
        <v>#N/A</v>
      </c>
      <c r="BD74" s="49" t="e">
        <f t="shared" si="48"/>
        <v>#N/A</v>
      </c>
      <c r="BE74" s="49" t="e">
        <f t="shared" si="48"/>
        <v>#N/A</v>
      </c>
      <c r="BF74" s="49" t="e">
        <f t="shared" si="48"/>
        <v>#N/A</v>
      </c>
      <c r="BG74" s="49" t="e">
        <f t="shared" si="48"/>
        <v>#N/A</v>
      </c>
      <c r="BH74" s="49" t="e">
        <f t="shared" si="48"/>
        <v>#N/A</v>
      </c>
      <c r="BI74" s="20"/>
      <c r="BJ74" s="20"/>
      <c r="BK74" s="20"/>
      <c r="BL74" s="20"/>
      <c r="BM74" s="20"/>
      <c r="BN74" s="20"/>
      <c r="BO74" s="20"/>
      <c r="BP74" s="20"/>
      <c r="BQ74" s="20"/>
    </row>
    <row r="75" spans="1:85" ht="26.1" customHeight="1">
      <c r="A75" s="13"/>
      <c r="B75" s="59"/>
      <c r="C75" s="13"/>
      <c r="D75" s="13"/>
      <c r="E75" s="13"/>
      <c r="F75" s="66"/>
      <c r="G75" s="66"/>
      <c r="H75" s="66"/>
      <c r="I75" s="13"/>
      <c r="J75" s="13"/>
      <c r="K75" s="13"/>
      <c r="L75" s="13"/>
      <c r="M75" s="44"/>
      <c r="N75" s="59"/>
      <c r="O75" s="13"/>
      <c r="P75" s="13"/>
      <c r="Q75" s="13"/>
      <c r="R75" s="13"/>
      <c r="S75" s="13"/>
      <c r="T75" s="44"/>
      <c r="U75" s="59"/>
      <c r="V75" s="13"/>
      <c r="W75" s="13"/>
      <c r="X75" s="13"/>
      <c r="Y75" s="13"/>
      <c r="Z75" s="13"/>
      <c r="AA75" s="13"/>
      <c r="AB75" s="13"/>
      <c r="AC75" s="13"/>
      <c r="AD75" s="44"/>
      <c r="AE75" s="13"/>
      <c r="AF75" s="20"/>
      <c r="AG75" s="20"/>
      <c r="AH75" s="20"/>
      <c r="AI75" s="398" t="str">
        <f t="shared" si="45"/>
        <v>水素</v>
      </c>
      <c r="AJ75" s="398"/>
      <c r="AK75" s="398"/>
      <c r="AL75" s="399" t="e">
        <f t="shared" si="46"/>
        <v>#N/A</v>
      </c>
      <c r="AM75" s="399"/>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row>
    <row r="76" spans="1:85" ht="26.1" customHeight="1">
      <c r="A76" s="13"/>
      <c r="B76" s="59"/>
      <c r="C76" s="13"/>
      <c r="D76" s="13"/>
      <c r="E76" s="13"/>
      <c r="F76" s="66"/>
      <c r="G76" s="66"/>
      <c r="H76" s="66"/>
      <c r="I76" s="13"/>
      <c r="J76" s="13"/>
      <c r="K76" s="13"/>
      <c r="L76" s="13"/>
      <c r="M76" s="44"/>
      <c r="N76" s="59"/>
      <c r="O76" s="13"/>
      <c r="P76" s="13"/>
      <c r="Q76" s="13"/>
      <c r="R76" s="13"/>
      <c r="S76" s="13"/>
      <c r="T76" s="44"/>
      <c r="U76" s="59"/>
      <c r="V76" s="13"/>
      <c r="W76" s="13"/>
      <c r="X76" s="13"/>
      <c r="Y76" s="13"/>
      <c r="Z76" s="13"/>
      <c r="AA76" s="13"/>
      <c r="AB76" s="13"/>
      <c r="AC76" s="13"/>
      <c r="AD76" s="44"/>
      <c r="AE76" s="13"/>
      <c r="AF76" s="20"/>
      <c r="AG76" s="20"/>
      <c r="AH76" s="20"/>
      <c r="AI76" s="398" t="str">
        <f t="shared" si="45"/>
        <v>上記以外のエネルギー（選択）</v>
      </c>
      <c r="AJ76" s="398"/>
      <c r="AK76" s="398"/>
      <c r="AL76" s="399" t="e">
        <f t="shared" si="46"/>
        <v>#N/A</v>
      </c>
      <c r="AM76" s="399"/>
      <c r="AN76" s="20"/>
      <c r="AO76" s="20"/>
      <c r="AP76" s="20"/>
      <c r="AQ76" s="20"/>
      <c r="AR76" s="20"/>
      <c r="AS76" s="20"/>
      <c r="AT76" s="20"/>
      <c r="AU76" s="61" t="s">
        <v>4109</v>
      </c>
      <c r="AV76" s="20" t="s">
        <v>4140</v>
      </c>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row>
    <row r="77" spans="1:85" ht="26.1" customHeight="1">
      <c r="A77" s="13"/>
      <c r="B77" s="59"/>
      <c r="C77" s="13"/>
      <c r="D77" s="13"/>
      <c r="E77" s="13"/>
      <c r="F77" s="66"/>
      <c r="G77" s="66"/>
      <c r="H77" s="66"/>
      <c r="I77" s="13"/>
      <c r="J77" s="13"/>
      <c r="K77" s="13"/>
      <c r="L77" s="13"/>
      <c r="M77" s="44"/>
      <c r="N77" s="59"/>
      <c r="O77" s="13"/>
      <c r="P77" s="13"/>
      <c r="Q77" s="13"/>
      <c r="R77" s="13"/>
      <c r="S77" s="13"/>
      <c r="T77" s="44"/>
      <c r="U77" s="59"/>
      <c r="V77" s="13"/>
      <c r="W77" s="13"/>
      <c r="X77" s="13"/>
      <c r="Y77" s="13"/>
      <c r="Z77" s="13"/>
      <c r="AA77" s="13"/>
      <c r="AB77" s="13"/>
      <c r="AC77" s="13"/>
      <c r="AD77" s="44"/>
      <c r="AE77" s="13"/>
      <c r="AF77" s="20"/>
      <c r="AG77" s="20"/>
      <c r="AH77" s="20"/>
      <c r="AI77" s="397"/>
      <c r="AJ77" s="397"/>
      <c r="AK77" s="397"/>
      <c r="AL77" s="396"/>
      <c r="AM77" s="396"/>
      <c r="AN77" s="20"/>
      <c r="AO77" s="20"/>
      <c r="AP77" s="20"/>
      <c r="AQ77" s="20"/>
      <c r="AR77" s="20"/>
      <c r="AS77" s="20"/>
      <c r="AT77" s="20"/>
      <c r="AU77" s="24"/>
      <c r="AV77" s="383" t="str">
        <f>基本設定シート!$B$11-1&amp;"年度"</f>
        <v>2025年度</v>
      </c>
      <c r="AW77" s="383"/>
      <c r="AX77" s="383" t="str">
        <f>基本設定シート!$B$11&amp;"年度"</f>
        <v>2026年度</v>
      </c>
      <c r="AY77" s="383"/>
      <c r="AZ77" s="383" t="str">
        <f>基本設定シート!$B$11+1&amp;"年度"</f>
        <v>2027年度</v>
      </c>
      <c r="BA77" s="383"/>
      <c r="BB77" s="383" t="str">
        <f>IF(基本設定シート!$B$11=基本設定シート!$C$8,"",基本設定シート!$B$11+2&amp;"年度")</f>
        <v>2028年度</v>
      </c>
      <c r="BC77" s="383"/>
      <c r="BD77" s="383" t="str">
        <f>IF(OR(基本設定シート!$B$11=基本設定シート!$C$7,基本設定シート!$B$11=基本設定シート!$C$8),"",基本設定シート!$B$11+3&amp;"年度")</f>
        <v>2029年度</v>
      </c>
      <c r="BE77" s="383"/>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row>
    <row r="78" spans="1:85" ht="26.1" customHeight="1">
      <c r="A78" s="13"/>
      <c r="B78" s="59"/>
      <c r="C78" s="13"/>
      <c r="D78" s="13"/>
      <c r="E78" s="13"/>
      <c r="F78" s="66"/>
      <c r="G78" s="66"/>
      <c r="H78" s="66"/>
      <c r="I78" s="13"/>
      <c r="J78" s="13"/>
      <c r="K78" s="13"/>
      <c r="L78" s="13"/>
      <c r="M78" s="44"/>
      <c r="N78" s="59"/>
      <c r="O78" s="13"/>
      <c r="P78" s="13"/>
      <c r="Q78" s="13"/>
      <c r="R78" s="13"/>
      <c r="S78" s="13"/>
      <c r="T78" s="44"/>
      <c r="U78" s="59"/>
      <c r="V78" s="13"/>
      <c r="W78" s="13"/>
      <c r="X78" s="13"/>
      <c r="Y78" s="13"/>
      <c r="Z78" s="13"/>
      <c r="AA78" s="13"/>
      <c r="AB78" s="13"/>
      <c r="AC78" s="13"/>
      <c r="AD78" s="44"/>
      <c r="AE78" s="13"/>
      <c r="AF78" s="20"/>
      <c r="AG78" s="20"/>
      <c r="AH78" s="20"/>
      <c r="AI78" s="397"/>
      <c r="AJ78" s="397"/>
      <c r="AK78" s="397"/>
      <c r="AL78" s="396"/>
      <c r="AM78" s="396"/>
      <c r="AN78" s="20"/>
      <c r="AO78" s="20"/>
      <c r="AP78" s="20"/>
      <c r="AQ78" s="20"/>
      <c r="AR78" s="20"/>
      <c r="AS78" s="60"/>
      <c r="AT78" s="20"/>
      <c r="AU78" s="48" t="str">
        <f>E23</f>
        <v>ガソリン</v>
      </c>
      <c r="AV78" s="382" t="str">
        <f>'入力シート（2026年度提出用）'!BK23</f>
        <v/>
      </c>
      <c r="AW78" s="382"/>
      <c r="AX78" s="382" t="str">
        <f>IF(基本設定シート!$B$11=基本設定シート!$C$6,'入力シート（2027年度提出用）'!BK23,IF(基本設定シート!$B$11=基本設定シート!$C$7,'入力シート（2028年度提出用）'!BK23,IF(基本設定シート!$B$11=基本設定シート!$C$8,BK23,NA())))</f>
        <v/>
      </c>
      <c r="AY78" s="382"/>
      <c r="AZ78" s="382" t="str">
        <f>IF(基本設定シート!$B$11=基本設定シート!$C$6,'入力シート（2028年度提出用）'!BK23,IF(基本設定シート!$B$11=基本設定シート!$C$7,BK23,NA()))</f>
        <v/>
      </c>
      <c r="BA78" s="382"/>
      <c r="BB78" s="382" t="str">
        <f>IF(基本設定シート!$B$11=基本設定シート!$C$6,BK23,NA())</f>
        <v/>
      </c>
      <c r="BC78" s="382"/>
      <c r="BD78" s="382"/>
      <c r="BE78" s="382"/>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row>
    <row r="79" spans="1:85" ht="26.1" customHeight="1">
      <c r="A79" s="13"/>
      <c r="B79" s="59"/>
      <c r="C79" s="13"/>
      <c r="D79" s="13"/>
      <c r="E79" s="13"/>
      <c r="F79" s="66"/>
      <c r="G79" s="66"/>
      <c r="H79" s="66"/>
      <c r="I79" s="13"/>
      <c r="J79" s="13"/>
      <c r="K79" s="13"/>
      <c r="L79" s="13"/>
      <c r="M79" s="44"/>
      <c r="N79" s="59"/>
      <c r="O79" s="13"/>
      <c r="P79" s="13"/>
      <c r="Q79" s="13"/>
      <c r="R79" s="13"/>
      <c r="S79" s="13"/>
      <c r="T79" s="44"/>
      <c r="U79" s="59"/>
      <c r="V79" s="13"/>
      <c r="W79" s="13"/>
      <c r="X79" s="13"/>
      <c r="Y79" s="13"/>
      <c r="Z79" s="13"/>
      <c r="AA79" s="13"/>
      <c r="AB79" s="13"/>
      <c r="AC79" s="13"/>
      <c r="AD79" s="44"/>
      <c r="AE79" s="13"/>
      <c r="AF79" s="20"/>
      <c r="AG79" s="20"/>
      <c r="AH79" s="20"/>
      <c r="AI79" s="397"/>
      <c r="AJ79" s="397"/>
      <c r="AK79" s="397"/>
      <c r="AL79" s="396"/>
      <c r="AM79" s="396"/>
      <c r="AN79" s="20"/>
      <c r="AO79" s="20"/>
      <c r="AP79" s="20"/>
      <c r="AQ79" s="20"/>
      <c r="AR79" s="20"/>
      <c r="AS79" s="20"/>
      <c r="AT79" s="20"/>
      <c r="AU79" s="48" t="str">
        <f>E24</f>
        <v>軽油</v>
      </c>
      <c r="AV79" s="382" t="str">
        <f>'入力シート（2026年度提出用）'!BK24</f>
        <v/>
      </c>
      <c r="AW79" s="382"/>
      <c r="AX79" s="382" t="str">
        <f>IF(基本設定シート!$B$11=基本設定シート!$C$6,'入力シート（2027年度提出用）'!BK24,IF(基本設定シート!$B$11=基本設定シート!$C$7,'入力シート（2028年度提出用）'!BK24,IF(基本設定シート!$B$11=基本設定シート!$C$8,BK24,NA())))</f>
        <v/>
      </c>
      <c r="AY79" s="382"/>
      <c r="AZ79" s="382" t="str">
        <f>IF(基本設定シート!$B$11=基本設定シート!$C$6,'入力シート（2028年度提出用）'!BK24,IF(基本設定シート!$B$11=基本設定シート!$C$7,BK24,NA()))</f>
        <v/>
      </c>
      <c r="BA79" s="382"/>
      <c r="BB79" s="382" t="str">
        <f>IF(基本設定シート!$B$11=基本設定シート!$C$6,BK24,NA())</f>
        <v/>
      </c>
      <c r="BC79" s="382"/>
      <c r="BD79" s="382"/>
      <c r="BE79" s="382"/>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row>
    <row r="80" spans="1:85" ht="26.1" customHeight="1">
      <c r="A80" s="13"/>
      <c r="B80" s="37"/>
      <c r="C80" s="67"/>
      <c r="D80" s="67"/>
      <c r="E80" s="67"/>
      <c r="F80" s="68"/>
      <c r="G80" s="68"/>
      <c r="H80" s="68"/>
      <c r="I80" s="67"/>
      <c r="J80" s="67"/>
      <c r="K80" s="67"/>
      <c r="L80" s="67"/>
      <c r="M80" s="38"/>
      <c r="N80" s="37"/>
      <c r="O80" s="67"/>
      <c r="P80" s="67"/>
      <c r="Q80" s="67"/>
      <c r="R80" s="67"/>
      <c r="S80" s="67"/>
      <c r="T80" s="38"/>
      <c r="U80" s="37"/>
      <c r="V80" s="67"/>
      <c r="W80" s="67"/>
      <c r="X80" s="67"/>
      <c r="Y80" s="67"/>
      <c r="Z80" s="67"/>
      <c r="AA80" s="67"/>
      <c r="AB80" s="67"/>
      <c r="AC80" s="67"/>
      <c r="AD80" s="38"/>
      <c r="AE80" s="13"/>
      <c r="AF80" s="20"/>
      <c r="AG80" s="20"/>
      <c r="AH80" s="20"/>
      <c r="AI80" s="20"/>
      <c r="AJ80" s="20"/>
      <c r="AK80" s="20"/>
      <c r="AL80" s="20"/>
      <c r="AM80" s="20"/>
      <c r="AN80" s="20"/>
      <c r="AO80" s="20"/>
      <c r="AP80" s="20"/>
      <c r="AQ80" s="20"/>
      <c r="AR80" s="20"/>
      <c r="AS80" s="20"/>
      <c r="AT80" s="20"/>
      <c r="AU80" s="48" t="str">
        <f>E25</f>
        <v>液化石油ガス(LPG)</v>
      </c>
      <c r="AV80" s="382" t="str">
        <f>'入力シート（2026年度提出用）'!BK25</f>
        <v/>
      </c>
      <c r="AW80" s="382"/>
      <c r="AX80" s="382" t="str">
        <f>IF(基本設定シート!$B$11=基本設定シート!$C$6,'入力シート（2027年度提出用）'!BK25,IF(基本設定シート!$B$11=基本設定シート!$C$7,'入力シート（2028年度提出用）'!BK25,IF(基本設定シート!$B$11=基本設定シート!$C$8,BK25,NA())))</f>
        <v/>
      </c>
      <c r="AY80" s="382"/>
      <c r="AZ80" s="382" t="str">
        <f>IF(基本設定シート!$B$11=基本設定シート!$C$6,'入力シート（2028年度提出用）'!BK25,IF(基本設定シート!$B$11=基本設定シート!$C$7,BK25,NA()))</f>
        <v/>
      </c>
      <c r="BA80" s="382"/>
      <c r="BB80" s="382" t="str">
        <f>IF(基本設定シート!$B$11=基本設定シート!$C$6,BK25,NA())</f>
        <v/>
      </c>
      <c r="BC80" s="382"/>
      <c r="BD80" s="382"/>
      <c r="BE80" s="382"/>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row>
    <row r="81" spans="1:85" ht="26.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20"/>
      <c r="AG81" s="20"/>
      <c r="AH81" s="20"/>
      <c r="AI81" s="20"/>
      <c r="AJ81" s="20"/>
      <c r="AK81" s="20"/>
      <c r="AL81" s="20"/>
      <c r="AM81" s="20"/>
      <c r="AN81" s="20"/>
      <c r="AO81" s="20"/>
      <c r="AP81" s="20"/>
      <c r="AQ81" s="20"/>
      <c r="AR81" s="20"/>
      <c r="AS81" s="20"/>
      <c r="AT81" s="20"/>
      <c r="AU81" s="48" t="str">
        <f>E26</f>
        <v>電気（充電）</v>
      </c>
      <c r="AV81" s="382" t="str">
        <f>'入力シート（2026年度提出用）'!BK26</f>
        <v/>
      </c>
      <c r="AW81" s="382"/>
      <c r="AX81" s="382" t="str">
        <f>IF(基本設定シート!$B$11=基本設定シート!$C$6,'入力シート（2027年度提出用）'!BK26,IF(基本設定シート!$B$11=基本設定シート!$C$7,'入力シート（2028年度提出用）'!BK26,IF(基本設定シート!$B$11=基本設定シート!$C$8,BK26,NA())))</f>
        <v/>
      </c>
      <c r="AY81" s="382"/>
      <c r="AZ81" s="382" t="str">
        <f>IF(基本設定シート!$B$11=基本設定シート!$C$6,'入力シート（2028年度提出用）'!BK26,IF(基本設定シート!$B$11=基本設定シート!$C$7,BK26,NA()))</f>
        <v/>
      </c>
      <c r="BA81" s="382"/>
      <c r="BB81" s="382" t="str">
        <f>IF(基本設定シート!$B$11=基本設定シート!$C$6,BK26,NA())</f>
        <v/>
      </c>
      <c r="BC81" s="382"/>
      <c r="BD81" s="382"/>
      <c r="BE81" s="382"/>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row>
    <row r="82" spans="1:85" ht="35.25" customHeight="1">
      <c r="A82" s="23" t="str">
        <f>"◆省エネの取り組みの実施状況（"&amp;基本設定シート!C8&amp;"年度の状況）と実施計画"</f>
        <v>◆省エネの取り組みの実施状況（2028年度の状況）と実施計画</v>
      </c>
      <c r="B82" s="23"/>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21"/>
      <c r="AG82" s="21"/>
      <c r="AH82" s="21"/>
      <c r="AI82" s="21"/>
      <c r="AJ82" s="21"/>
      <c r="AK82" s="21"/>
      <c r="AL82" s="21"/>
      <c r="AM82" s="21"/>
      <c r="AN82" s="21"/>
      <c r="AO82" s="21"/>
      <c r="AP82" s="21"/>
      <c r="AQ82" s="21"/>
      <c r="AR82" s="21"/>
      <c r="AS82" s="21"/>
      <c r="AT82" s="21"/>
      <c r="AU82" s="48" t="str">
        <f>E27</f>
        <v>水素</v>
      </c>
      <c r="AV82" s="382" t="str">
        <f>'入力シート（2026年度提出用）'!BK27</f>
        <v/>
      </c>
      <c r="AW82" s="382"/>
      <c r="AX82" s="382" t="str">
        <f>IF(基本設定シート!$B$11=基本設定シート!$C$6,'入力シート（2027年度提出用）'!BK27,IF(基本設定シート!$B$11=基本設定シート!$C$7,'入力シート（2028年度提出用）'!BK27,IF(基本設定シート!$B$11=基本設定シート!$C$8,BK27,NA())))</f>
        <v/>
      </c>
      <c r="AY82" s="382"/>
      <c r="AZ82" s="382" t="str">
        <f>IF(基本設定シート!$B$11=基本設定シート!$C$6,'入力シート（2028年度提出用）'!BK27,IF(基本設定シート!$B$11=基本設定シート!$C$7,BK27,NA()))</f>
        <v/>
      </c>
      <c r="BA82" s="382"/>
      <c r="BB82" s="382" t="str">
        <f>IF(基本設定シート!$B$11=基本設定シート!$C$6,BK27,NA())</f>
        <v/>
      </c>
      <c r="BC82" s="382"/>
      <c r="BD82" s="382"/>
      <c r="BE82" s="382"/>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row>
    <row r="83" spans="1:85" ht="26.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20"/>
      <c r="AG83" s="20"/>
      <c r="AH83" s="20"/>
      <c r="AI83" s="20"/>
      <c r="AJ83" s="20"/>
      <c r="AK83" s="20"/>
      <c r="AL83" s="20"/>
      <c r="AM83" s="20"/>
      <c r="AN83" s="20"/>
      <c r="AO83" s="20"/>
      <c r="AP83" s="20"/>
      <c r="AQ83" s="20"/>
      <c r="AR83" s="20"/>
      <c r="AS83" s="20"/>
      <c r="AT83" s="20"/>
      <c r="AU83" s="48" t="str">
        <f>IF($X$28="","",E28)</f>
        <v/>
      </c>
      <c r="AV83" s="382" t="str">
        <f>'入力シート（2026年度提出用）'!BK28</f>
        <v/>
      </c>
      <c r="AW83" s="382"/>
      <c r="AX83" s="382" t="str">
        <f>IF(基本設定シート!$B$11=基本設定シート!$C$6,'入力シート（2027年度提出用）'!BK28,IF(基本設定シート!$B$11=基本設定シート!$C$7,'入力シート（2028年度提出用）'!BK28,IF(基本設定シート!$B$11=基本設定シート!$C$8,BK28,NA())))</f>
        <v/>
      </c>
      <c r="AY83" s="382"/>
      <c r="AZ83" s="382" t="str">
        <f>IF(基本設定シート!$B$11=基本設定シート!$C$6,'入力シート（2028年度提出用）'!BK28,IF(基本設定シート!$B$11=基本設定シート!$C$7,BK28,NA()))</f>
        <v/>
      </c>
      <c r="BA83" s="382"/>
      <c r="BB83" s="382" t="str">
        <f>IF(基本設定シート!$B$11=基本設定シート!$C$6,BK28,NA())</f>
        <v/>
      </c>
      <c r="BC83" s="382"/>
      <c r="BD83" s="382"/>
      <c r="BE83" s="382"/>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row>
    <row r="84" spans="1:85" ht="31.5" customHeight="1" thickBot="1">
      <c r="A84" s="13"/>
      <c r="B84" s="13"/>
      <c r="C84" s="472" t="s">
        <v>4089</v>
      </c>
      <c r="D84" s="474"/>
      <c r="E84" s="472" t="s">
        <v>4090</v>
      </c>
      <c r="F84" s="473"/>
      <c r="G84" s="473"/>
      <c r="H84" s="473"/>
      <c r="I84" s="473"/>
      <c r="J84" s="473"/>
      <c r="K84" s="473"/>
      <c r="L84" s="473"/>
      <c r="M84" s="474"/>
      <c r="N84" s="471" t="s">
        <v>4092</v>
      </c>
      <c r="O84" s="471"/>
      <c r="P84" s="471"/>
      <c r="Q84" s="471"/>
      <c r="R84" s="471"/>
      <c r="S84" s="471"/>
      <c r="T84" s="471"/>
      <c r="U84" s="471"/>
      <c r="V84" s="471"/>
      <c r="W84" s="471"/>
      <c r="X84" s="471"/>
      <c r="Y84" s="471"/>
      <c r="Z84" s="471"/>
      <c r="AA84" s="471" t="s">
        <v>4130</v>
      </c>
      <c r="AB84" s="471"/>
      <c r="AC84" s="471"/>
      <c r="AD84" s="471"/>
      <c r="AE84" s="13"/>
      <c r="AF84" s="20"/>
      <c r="AG84" s="20"/>
      <c r="AH84" s="20"/>
      <c r="AI84" s="20"/>
      <c r="AJ84" s="20"/>
      <c r="AK84" s="20"/>
      <c r="AL84" s="71" t="s">
        <v>4097</v>
      </c>
      <c r="AM84" s="20"/>
      <c r="AN84" s="20"/>
      <c r="AO84" s="20"/>
      <c r="AP84" s="20"/>
      <c r="AQ84" s="20"/>
      <c r="AR84" s="20"/>
      <c r="AS84" s="20"/>
      <c r="AT84" s="20"/>
      <c r="AU84" s="48"/>
      <c r="AV84" s="382"/>
      <c r="AW84" s="382"/>
      <c r="AX84" s="382"/>
      <c r="AY84" s="382"/>
      <c r="AZ84" s="382"/>
      <c r="BA84" s="382"/>
      <c r="BB84" s="382"/>
      <c r="BC84" s="382"/>
      <c r="BD84" s="382"/>
      <c r="BE84" s="382"/>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row>
    <row r="85" spans="1:85" ht="31.5" customHeight="1" thickBot="1">
      <c r="A85" s="13"/>
      <c r="B85" s="13"/>
      <c r="C85" s="513">
        <v>1</v>
      </c>
      <c r="D85" s="514"/>
      <c r="E85" s="475" t="str">
        <f>取組リスト!B3</f>
        <v>省エネ・地球温暖化対策に関する社内研修等の実施</v>
      </c>
      <c r="F85" s="476"/>
      <c r="G85" s="476"/>
      <c r="H85" s="476"/>
      <c r="I85" s="476"/>
      <c r="J85" s="476"/>
      <c r="K85" s="476"/>
      <c r="L85" s="476"/>
      <c r="M85" s="477"/>
      <c r="N85" s="27"/>
      <c r="O85" s="47" t="s">
        <v>4093</v>
      </c>
      <c r="P85" s="47"/>
      <c r="Q85" s="47"/>
      <c r="R85" s="47" t="s">
        <v>4227</v>
      </c>
      <c r="S85" s="47"/>
      <c r="T85" s="47"/>
      <c r="U85" s="47" t="s">
        <v>4094</v>
      </c>
      <c r="V85" s="47"/>
      <c r="W85" s="47"/>
      <c r="X85" s="47"/>
      <c r="Y85" s="47"/>
      <c r="Z85" s="28"/>
      <c r="AA85" s="513" t="str">
        <f>IF(OR(基本設定シート!$B$11=基本設定シート!$C$6,基本設定シート!$B$11=基本設定シート!$C$7),'入力シート（2028年度提出用）'!AH85,IF(基本設定シート!$B$11=基本設定シート!$C$8,'入力シート（2026年度提出用）'!AH85,""))</f>
        <v>未選択</v>
      </c>
      <c r="AB85" s="539"/>
      <c r="AC85" s="539"/>
      <c r="AD85" s="514"/>
      <c r="AE85" s="13"/>
      <c r="AF85" s="20"/>
      <c r="AG85" s="7"/>
      <c r="AH85" s="69" t="str">
        <f>IF(AG85=1,O85,IF(AG85=2,R85,IF(AG85=3,U85,"未選択")))</f>
        <v>未選択</v>
      </c>
      <c r="AI85" s="70"/>
      <c r="AJ85" s="26"/>
      <c r="AK85" s="20"/>
      <c r="AL85" s="24"/>
      <c r="AM85" s="42" t="s">
        <v>4099</v>
      </c>
      <c r="AN85" s="42" t="s">
        <v>4100</v>
      </c>
      <c r="AO85" s="42" t="s">
        <v>4101</v>
      </c>
      <c r="AP85" s="42" t="s">
        <v>4102</v>
      </c>
      <c r="AQ85" s="42" t="s">
        <v>4103</v>
      </c>
      <c r="AR85" s="42" t="s">
        <v>4096</v>
      </c>
      <c r="AS85" s="42" t="s">
        <v>4104</v>
      </c>
      <c r="AT85" s="20"/>
      <c r="AU85" s="48"/>
      <c r="AV85" s="382"/>
      <c r="AW85" s="382"/>
      <c r="AX85" s="382"/>
      <c r="AY85" s="382"/>
      <c r="AZ85" s="382"/>
      <c r="BA85" s="382"/>
      <c r="BB85" s="382"/>
      <c r="BC85" s="382"/>
      <c r="BD85" s="382"/>
      <c r="BE85" s="382"/>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row>
    <row r="86" spans="1:85" ht="31.5" customHeight="1" thickBot="1">
      <c r="A86" s="13"/>
      <c r="B86" s="13"/>
      <c r="C86" s="513">
        <f>C85+1</f>
        <v>2</v>
      </c>
      <c r="D86" s="514"/>
      <c r="E86" s="475" t="str">
        <f>取組リスト!B4</f>
        <v>車両毎の燃料使用量や走行距離の把握・記録・社内共有</v>
      </c>
      <c r="F86" s="476"/>
      <c r="G86" s="476"/>
      <c r="H86" s="476"/>
      <c r="I86" s="476"/>
      <c r="J86" s="476"/>
      <c r="K86" s="476"/>
      <c r="L86" s="476"/>
      <c r="M86" s="477"/>
      <c r="N86" s="27"/>
      <c r="O86" s="47" t="s">
        <v>4093</v>
      </c>
      <c r="P86" s="47"/>
      <c r="Q86" s="47"/>
      <c r="R86" s="47" t="s">
        <v>4227</v>
      </c>
      <c r="S86" s="47"/>
      <c r="T86" s="47"/>
      <c r="U86" s="47" t="s">
        <v>4094</v>
      </c>
      <c r="V86" s="47"/>
      <c r="W86" s="47"/>
      <c r="X86" s="47"/>
      <c r="Y86" s="47"/>
      <c r="Z86" s="28"/>
      <c r="AA86" s="513" t="str">
        <f>IF(OR(基本設定シート!$B$11=基本設定シート!$C$6,基本設定シート!$B$11=基本設定シート!$C$7),'入力シート（2028年度提出用）'!AH86,IF(基本設定シート!$B$11=基本設定シート!$C$8,'入力シート（2026年度提出用）'!AH86,""))</f>
        <v>未選択</v>
      </c>
      <c r="AB86" s="539"/>
      <c r="AC86" s="539"/>
      <c r="AD86" s="514"/>
      <c r="AE86" s="13"/>
      <c r="AF86" s="20"/>
      <c r="AG86" s="7"/>
      <c r="AH86" s="69" t="str">
        <f t="shared" ref="AH86:AH99" si="49">IF(AG86=1,O86,IF(AG86=2,R86,IF(AG86=3,U86,"未選択")))</f>
        <v>未選択</v>
      </c>
      <c r="AI86" s="70"/>
      <c r="AJ86" s="26"/>
      <c r="AK86" s="20"/>
      <c r="AL86" s="42" t="str">
        <f>基本設定シート!$B$11-1&amp;"年度"</f>
        <v>2025年度</v>
      </c>
      <c r="AM86" s="42">
        <f>'入力シート（2026年度提出用）'!AM86</f>
        <v>0</v>
      </c>
      <c r="AN86" s="42">
        <f>'入力シート（2026年度提出用）'!AN86</f>
        <v>0</v>
      </c>
      <c r="AO86" s="42">
        <f>'入力シート（2026年度提出用）'!AO86</f>
        <v>0</v>
      </c>
      <c r="AP86" s="42">
        <f>'入力シート（2026年度提出用）'!AP86</f>
        <v>0</v>
      </c>
      <c r="AQ86" s="42">
        <f>'入力シート（2026年度提出用）'!AQ86</f>
        <v>16</v>
      </c>
      <c r="AR86" s="72">
        <f>AM86/AQ86</f>
        <v>0</v>
      </c>
      <c r="AS86" s="72">
        <f>(AM86+AN86)/AQ86</f>
        <v>0</v>
      </c>
      <c r="AT86" s="20"/>
      <c r="AU86" s="24" t="s">
        <v>4119</v>
      </c>
      <c r="AV86" s="382"/>
      <c r="AW86" s="382"/>
      <c r="AX86" s="382"/>
      <c r="AY86" s="382"/>
      <c r="AZ86" s="382" t="e">
        <f>IF(OR(基本設定シート!$B$11=基本設定シート!$C$6,基本設定シート!$B$11=基本設定シート!$C$7),NA(),IF(基本設定シート!$B$11=基本設定シート!$C$8,IF(AB61="",NA(),AB61),NA()))</f>
        <v>#N/A</v>
      </c>
      <c r="BA86" s="382"/>
      <c r="BB86" s="382" t="e">
        <f>IF(基本設定シート!$B$11=基本設定シート!$C$7,IF(AB61="",NA(),AB61),NA())</f>
        <v>#N/A</v>
      </c>
      <c r="BC86" s="382"/>
      <c r="BD86" s="382" t="e">
        <f>IF(基本設定シート!$B$11=基本設定シート!$C$6,IF(AB61="",NA(),AB61),NA())</f>
        <v>#N/A</v>
      </c>
      <c r="BE86" s="382"/>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row>
    <row r="87" spans="1:85" ht="31.5" customHeight="1" thickBot="1">
      <c r="A87" s="13"/>
      <c r="B87" s="13"/>
      <c r="C87" s="513">
        <f t="shared" ref="C87:C105" si="50">C86+1</f>
        <v>3</v>
      </c>
      <c r="D87" s="514"/>
      <c r="E87" s="475" t="str">
        <f>取組リスト!B5</f>
        <v>エコドライブ推進に関する責任者の設置・エコドライブ推進体制の整備</v>
      </c>
      <c r="F87" s="476"/>
      <c r="G87" s="476"/>
      <c r="H87" s="476"/>
      <c r="I87" s="476"/>
      <c r="J87" s="476"/>
      <c r="K87" s="476"/>
      <c r="L87" s="476"/>
      <c r="M87" s="477"/>
      <c r="N87" s="27"/>
      <c r="O87" s="47" t="s">
        <v>4093</v>
      </c>
      <c r="P87" s="47"/>
      <c r="Q87" s="47"/>
      <c r="R87" s="47" t="s">
        <v>4227</v>
      </c>
      <c r="S87" s="47"/>
      <c r="T87" s="47"/>
      <c r="U87" s="47" t="s">
        <v>4094</v>
      </c>
      <c r="V87" s="47"/>
      <c r="W87" s="47"/>
      <c r="X87" s="47"/>
      <c r="Y87" s="47"/>
      <c r="Z87" s="28"/>
      <c r="AA87" s="513" t="str">
        <f>IF(OR(基本設定シート!$B$11=基本設定シート!$C$6,基本設定シート!$B$11=基本設定シート!$C$7),'入力シート（2028年度提出用）'!AH87,IF(基本設定シート!$B$11=基本設定シート!$C$8,'入力シート（2026年度提出用）'!AH87,""))</f>
        <v>未選択</v>
      </c>
      <c r="AB87" s="539"/>
      <c r="AC87" s="539"/>
      <c r="AD87" s="514"/>
      <c r="AE87" s="13"/>
      <c r="AF87" s="20"/>
      <c r="AG87" s="7"/>
      <c r="AH87" s="69" t="str">
        <f t="shared" si="49"/>
        <v>未選択</v>
      </c>
      <c r="AI87" s="70"/>
      <c r="AJ87" s="26"/>
      <c r="AK87" s="20"/>
      <c r="AL87" s="42" t="str">
        <f>基本設定シート!$B$11&amp;"年度"</f>
        <v>2026年度</v>
      </c>
      <c r="AM87" s="42">
        <f>IF(基本設定シート!$B$11=基本設定シート!$C$6,'入力シート（2027年度提出用）'!AM87,IF(基本設定シート!$B$11=基本設定シート!$C$7,'入力シート（2028年度提出用）'!AM87,IF(基本設定シート!$B$11=基本設定シート!$C$8,COUNTIF($AG$85:$AG$100,1),"")))</f>
        <v>0</v>
      </c>
      <c r="AN87" s="42">
        <f>IF(基本設定シート!$B$11=基本設定シート!$C$6,'入力シート（2027年度提出用）'!AN87,IF(基本設定シート!$B$11=基本設定シート!$C$7,'入力シート（2028年度提出用）'!AN87,IF(基本設定シート!$B$11=基本設定シート!$C$8,COUNTIF($AG$85:$AG$100,2),"")))</f>
        <v>0</v>
      </c>
      <c r="AO87" s="42">
        <f>IF(基本設定シート!$B$11=基本設定シート!$C$6,'入力シート（2027年度提出用）'!AO87,IF(基本設定シート!$B$11=基本設定シート!$C$7,'入力シート（2028年度提出用）'!AO87,IF(基本設定シート!$B$11=基本設定シート!$C$8,COUNTIF($AG$85:$AG$100,3),"")))</f>
        <v>0</v>
      </c>
      <c r="AP87" s="42">
        <f>IF(基本設定シート!$B$11=基本設定シート!$C$6,'入力シート（2027年度提出用）'!AP87,IF(基本設定シート!$B$11=基本設定シート!$C$7,'入力シート（2028年度提出用）'!AP87,IF(基本設定シート!$B$11=基本設定シート!$C$8,COUNTIF($AG$85:$AG$100,4),"")))</f>
        <v>0</v>
      </c>
      <c r="AQ87" s="42">
        <f>IF(基本設定シート!$B$11=基本設定シート!$C$6,'入力シート（2027年度提出用）'!AQ87,IF(基本設定シート!$B$11=基本設定シート!$C$7,'入力シート（2028年度提出用）'!AQ87,IF(基本設定シート!$B$11=基本設定シート!$C$8,C100-AP87,"")))</f>
        <v>16</v>
      </c>
      <c r="AR87" s="72">
        <f>AM87/AQ87</f>
        <v>0</v>
      </c>
      <c r="AS87" s="72">
        <f>(AM87+AN87)/AQ87</f>
        <v>0</v>
      </c>
      <c r="AT87" s="20"/>
      <c r="AU87" s="24" t="s">
        <v>23</v>
      </c>
      <c r="AV87" s="382">
        <f>ROUNDDOWN(SUM(AV78:AW85),1)</f>
        <v>0</v>
      </c>
      <c r="AW87" s="382"/>
      <c r="AX87" s="382">
        <f>ROUNDDOWN(SUM(AX78:AY85),1)</f>
        <v>0</v>
      </c>
      <c r="AY87" s="382"/>
      <c r="AZ87" s="382">
        <f>IF(OR(基本設定シート!$B$11=基本設定シート!$C$6,基本設定シート!$B$11=基本設定シート!$C$7),ROUNDDOWN(SUM(AZ78:BA85),1),NA())</f>
        <v>0</v>
      </c>
      <c r="BA87" s="382"/>
      <c r="BB87" s="382">
        <f>IF(基本設定シート!$B$11=基本設定シート!$C$6,ROUNDDOWN(SUM(BB78:BC85),1),NA())</f>
        <v>0</v>
      </c>
      <c r="BC87" s="382"/>
      <c r="BD87" s="382"/>
      <c r="BE87" s="382"/>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row>
    <row r="88" spans="1:85" ht="31.5" customHeight="1" thickBot="1">
      <c r="A88" s="13"/>
      <c r="B88" s="13"/>
      <c r="C88" s="513">
        <f t="shared" si="50"/>
        <v>4</v>
      </c>
      <c r="D88" s="514"/>
      <c r="E88" s="475" t="str">
        <f>取組リスト!B6</f>
        <v>運転する全社員に対するエコドライブに関する研修・教育の実施</v>
      </c>
      <c r="F88" s="476"/>
      <c r="G88" s="476"/>
      <c r="H88" s="476"/>
      <c r="I88" s="476"/>
      <c r="J88" s="476"/>
      <c r="K88" s="476"/>
      <c r="L88" s="476"/>
      <c r="M88" s="477"/>
      <c r="N88" s="27"/>
      <c r="O88" s="47" t="s">
        <v>4093</v>
      </c>
      <c r="P88" s="47"/>
      <c r="Q88" s="47"/>
      <c r="R88" s="47" t="s">
        <v>4227</v>
      </c>
      <c r="S88" s="47"/>
      <c r="T88" s="47"/>
      <c r="U88" s="47" t="s">
        <v>4094</v>
      </c>
      <c r="V88" s="47"/>
      <c r="W88" s="47"/>
      <c r="X88" s="13"/>
      <c r="Y88" s="47"/>
      <c r="Z88" s="28"/>
      <c r="AA88" s="513" t="str">
        <f>IF(OR(基本設定シート!$B$11=基本設定シート!$C$6,基本設定シート!$B$11=基本設定シート!$C$7),'入力シート（2028年度提出用）'!AH88,IF(基本設定シート!$B$11=基本設定シート!$C$8,'入力シート（2026年度提出用）'!AH88,""))</f>
        <v>未選択</v>
      </c>
      <c r="AB88" s="539"/>
      <c r="AC88" s="539"/>
      <c r="AD88" s="514"/>
      <c r="AE88" s="13"/>
      <c r="AF88" s="20"/>
      <c r="AG88" s="7"/>
      <c r="AH88" s="69" t="str">
        <f t="shared" si="49"/>
        <v>未選択</v>
      </c>
      <c r="AI88" s="70"/>
      <c r="AJ88" s="26"/>
      <c r="AK88" s="20"/>
      <c r="AL88" s="42" t="str">
        <f>IF(基本設定シート!$B$11=基本設定シート!$C$8,"",基本設定シート!$B$11+1&amp;"年度")</f>
        <v>2027年度</v>
      </c>
      <c r="AM88" s="42">
        <f>IF(基本設定シート!$B$11=基本設定シート!$C$6,'入力シート（2028年度提出用）'!AM88,IF(基本設定シート!$B$11=基本設定シート!$C$7,COUNTIF($AG$85:$AG$100,1),""))</f>
        <v>0</v>
      </c>
      <c r="AN88" s="42">
        <f>IF(基本設定シート!$B$11=基本設定シート!$C$6,'入力シート（2028年度提出用）'!AN88,IF(基本設定シート!$B$11=基本設定シート!$C$7,COUNTIF($AG$85:$AG$100,2),""))</f>
        <v>0</v>
      </c>
      <c r="AO88" s="42">
        <f>IF(基本設定シート!$B$11=基本設定シート!$C$6,'入力シート（2028年度提出用）'!AO88,IF(基本設定シート!$B$11=基本設定シート!$C$7,COUNTIF($AG$85:$AG$100,3),""))</f>
        <v>0</v>
      </c>
      <c r="AP88" s="42">
        <f>IF(基本設定シート!$B$11=基本設定シート!$C$6,'入力シート（2028年度提出用）'!AP88,IF(基本設定シート!$B$11=基本設定シート!$C$7,COUNTIF($AG$85:$AG$100,4),""))</f>
        <v>0</v>
      </c>
      <c r="AQ88" s="42">
        <f>IF(基本設定シート!$B$11=基本設定シート!$C$6,'入力シート（2028年度提出用）'!AQ88,IF(基本設定シート!$B$11=基本設定シート!$C$7,C100-AP88,""))</f>
        <v>16</v>
      </c>
      <c r="AR88" s="72">
        <f>IFERROR(AM88/AQ88,"")</f>
        <v>0</v>
      </c>
      <c r="AS88" s="72">
        <f>IFERROR((AM88+AN88)/AQ88,"")</f>
        <v>0</v>
      </c>
      <c r="AT88" s="20"/>
      <c r="AU88" s="24" t="s">
        <v>4178</v>
      </c>
      <c r="AV88" s="383" t="s">
        <v>4179</v>
      </c>
      <c r="AW88" s="383"/>
      <c r="AX88" s="540" t="e">
        <f>IF(AX77="","-",($AV$87-AX87)/$AV$87)</f>
        <v>#DIV/0!</v>
      </c>
      <c r="AY88" s="540"/>
      <c r="AZ88" s="540" t="e">
        <f>IF(AZ77="","-",($AV$87-AZ87)/$AV$87)</f>
        <v>#DIV/0!</v>
      </c>
      <c r="BA88" s="540"/>
      <c r="BB88" s="540" t="e">
        <f>IF(BB77="","-",($AV$87-BB87)/$AV$87)</f>
        <v>#DIV/0!</v>
      </c>
      <c r="BC88" s="540"/>
      <c r="BD88" s="383" t="s">
        <v>27</v>
      </c>
      <c r="BE88" s="383"/>
      <c r="BF88" s="89" t="s">
        <v>4182</v>
      </c>
      <c r="BG88" s="398" t="s">
        <v>4181</v>
      </c>
      <c r="BH88" s="398"/>
      <c r="BI88" s="90" t="e">
        <f>IF(AND(BB77="",BD77=""),AX88,IF(BD77="",AVERAGE(AX88:BA88),AVERAGE(AX88:BC88)))</f>
        <v>#DIV/0!</v>
      </c>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row>
    <row r="89" spans="1:85" ht="31.5" customHeight="1" thickBot="1">
      <c r="A89" s="13"/>
      <c r="B89" s="13"/>
      <c r="C89" s="513">
        <f t="shared" si="50"/>
        <v>5</v>
      </c>
      <c r="D89" s="514"/>
      <c r="E89" s="475" t="str">
        <f>取組リスト!B7</f>
        <v>チェックシート等を活用したエコドライブの実践</v>
      </c>
      <c r="F89" s="476"/>
      <c r="G89" s="476"/>
      <c r="H89" s="476"/>
      <c r="I89" s="476"/>
      <c r="J89" s="476"/>
      <c r="K89" s="476"/>
      <c r="L89" s="476"/>
      <c r="M89" s="477"/>
      <c r="N89" s="27"/>
      <c r="O89" s="47" t="s">
        <v>4093</v>
      </c>
      <c r="P89" s="47"/>
      <c r="Q89" s="47"/>
      <c r="R89" s="47" t="s">
        <v>4227</v>
      </c>
      <c r="S89" s="47"/>
      <c r="T89" s="47"/>
      <c r="U89" s="47" t="s">
        <v>4094</v>
      </c>
      <c r="V89" s="47"/>
      <c r="W89" s="47"/>
      <c r="X89" s="47"/>
      <c r="Y89" s="47"/>
      <c r="Z89" s="28"/>
      <c r="AA89" s="513" t="str">
        <f>IF(OR(基本設定シート!$B$11=基本設定シート!$C$6,基本設定シート!$B$11=基本設定シート!$C$7),'入力シート（2028年度提出用）'!AH89,IF(基本設定シート!$B$11=基本設定シート!$C$8,'入力シート（2026年度提出用）'!AH89,""))</f>
        <v>未選択</v>
      </c>
      <c r="AB89" s="539"/>
      <c r="AC89" s="539"/>
      <c r="AD89" s="514"/>
      <c r="AE89" s="13"/>
      <c r="AF89" s="20"/>
      <c r="AG89" s="7"/>
      <c r="AH89" s="69" t="str">
        <f t="shared" si="49"/>
        <v>未選択</v>
      </c>
      <c r="AI89" s="70"/>
      <c r="AJ89" s="26"/>
      <c r="AK89" s="20"/>
      <c r="AL89" s="42" t="str">
        <f>IF(OR(基本設定シート!$B$11=基本設定シート!$C$7,基本設定シート!$B$11=基本設定シート!$C$8),"",基本設定シート!$B$11+2&amp;"年度")</f>
        <v>2028年度</v>
      </c>
      <c r="AM89" s="42">
        <f>IF(基本設定シート!$B$11=基本設定シート!$C$6,COUNTIF($AG$85:$AG$100,1),"")</f>
        <v>0</v>
      </c>
      <c r="AN89" s="42">
        <f>IF(基本設定シート!$B$11=基本設定シート!$C$6,COUNTIF($AG$85:$AG$100,2),"")</f>
        <v>0</v>
      </c>
      <c r="AO89" s="42">
        <f>IF(基本設定シート!$B$11=基本設定シート!$C$6,COUNTIF($AG$85:$AG$100,3),"")</f>
        <v>0</v>
      </c>
      <c r="AP89" s="42">
        <f>IF(基本設定シート!$B$11=基本設定シート!$C$6,COUNTIF($AG$85:$AG$100,4),"")</f>
        <v>0</v>
      </c>
      <c r="AQ89" s="42">
        <f>IF(基本設定シート!$B$11=基本設定シート!$C$6,C100-AP89,"")</f>
        <v>16</v>
      </c>
      <c r="AR89" s="72">
        <f>IFERROR(AM89/AQ89,"")</f>
        <v>0</v>
      </c>
      <c r="AS89" s="72">
        <f>IFERROR((AM89+AN89)/AQ89,"")</f>
        <v>0</v>
      </c>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row>
    <row r="90" spans="1:85" s="3" customFormat="1" ht="31.5" customHeight="1" thickBot="1">
      <c r="A90" s="13"/>
      <c r="B90" s="13"/>
      <c r="C90" s="513">
        <f t="shared" si="50"/>
        <v>6</v>
      </c>
      <c r="D90" s="514"/>
      <c r="E90" s="475" t="str">
        <f>取組リスト!B8</f>
        <v>優良エコドライバーへの表彰等</v>
      </c>
      <c r="F90" s="476"/>
      <c r="G90" s="476"/>
      <c r="H90" s="476"/>
      <c r="I90" s="476"/>
      <c r="J90" s="476"/>
      <c r="K90" s="476"/>
      <c r="L90" s="476"/>
      <c r="M90" s="477"/>
      <c r="N90" s="27"/>
      <c r="O90" s="47" t="s">
        <v>4093</v>
      </c>
      <c r="P90" s="47"/>
      <c r="Q90" s="47"/>
      <c r="R90" s="47" t="s">
        <v>4227</v>
      </c>
      <c r="S90" s="47"/>
      <c r="T90" s="47"/>
      <c r="U90" s="47" t="s">
        <v>4094</v>
      </c>
      <c r="V90" s="47"/>
      <c r="W90" s="47"/>
      <c r="X90" s="47"/>
      <c r="Y90" s="47"/>
      <c r="Z90" s="28"/>
      <c r="AA90" s="513" t="str">
        <f>IF(OR(基本設定シート!$B$11=基本設定シート!$C$6,基本設定シート!$B$11=基本設定シート!$C$7),'入力シート（2028年度提出用）'!AH90,IF(基本設定シート!$B$11=基本設定シート!$C$8,'入力シート（2026年度提出用）'!AH90,""))</f>
        <v>未選択</v>
      </c>
      <c r="AB90" s="539"/>
      <c r="AC90" s="539"/>
      <c r="AD90" s="514"/>
      <c r="AE90" s="13"/>
      <c r="AF90" s="20"/>
      <c r="AG90" s="7"/>
      <c r="AH90" s="69" t="str">
        <f t="shared" si="49"/>
        <v>未選択</v>
      </c>
      <c r="AI90" s="70"/>
      <c r="AJ90" s="26"/>
      <c r="AK90" s="20"/>
      <c r="AL90" s="20"/>
      <c r="AM90" s="20"/>
      <c r="AN90" s="20"/>
      <c r="AO90" s="20"/>
      <c r="AP90" s="20"/>
      <c r="AQ90" s="20"/>
      <c r="AR90" s="20"/>
      <c r="AS90" s="20"/>
      <c r="AT90" s="20"/>
      <c r="AU90" s="21"/>
      <c r="AV90" s="21"/>
      <c r="AW90" s="21"/>
      <c r="AX90" s="21"/>
      <c r="AY90" s="21"/>
      <c r="AZ90" s="21"/>
      <c r="BA90" s="21"/>
      <c r="BB90" s="21"/>
      <c r="BC90" s="21"/>
      <c r="BD90" s="21"/>
      <c r="BE90" s="21"/>
      <c r="BF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row>
    <row r="91" spans="1:85" ht="31.5" customHeight="1" thickBot="1">
      <c r="A91" s="13"/>
      <c r="B91" s="13"/>
      <c r="C91" s="513">
        <f t="shared" si="50"/>
        <v>7</v>
      </c>
      <c r="D91" s="514"/>
      <c r="E91" s="475" t="str">
        <f>取組リスト!B9</f>
        <v>輸送や配車効率の向上に資する情報システム（車両動態システム等）の導入</v>
      </c>
      <c r="F91" s="476"/>
      <c r="G91" s="476"/>
      <c r="H91" s="476"/>
      <c r="I91" s="476"/>
      <c r="J91" s="476"/>
      <c r="K91" s="476"/>
      <c r="L91" s="476"/>
      <c r="M91" s="477"/>
      <c r="N91" s="27"/>
      <c r="O91" s="47" t="s">
        <v>4093</v>
      </c>
      <c r="P91" s="47"/>
      <c r="Q91" s="47"/>
      <c r="R91" s="47" t="s">
        <v>4227</v>
      </c>
      <c r="S91" s="47"/>
      <c r="T91" s="47"/>
      <c r="U91" s="47" t="s">
        <v>4094</v>
      </c>
      <c r="V91" s="47"/>
      <c r="W91" s="47"/>
      <c r="X91" s="47"/>
      <c r="Y91" s="47"/>
      <c r="Z91" s="28"/>
      <c r="AA91" s="513" t="str">
        <f>IF(OR(基本設定シート!$B$11=基本設定シート!$C$6,基本設定シート!$B$11=基本設定シート!$C$7),'入力シート（2028年度提出用）'!AH91,IF(基本設定シート!$B$11=基本設定シート!$C$8,'入力シート（2026年度提出用）'!AH91,""))</f>
        <v>未選択</v>
      </c>
      <c r="AB91" s="539"/>
      <c r="AC91" s="539"/>
      <c r="AD91" s="514"/>
      <c r="AE91" s="13"/>
      <c r="AF91" s="20"/>
      <c r="AG91" s="7"/>
      <c r="AH91" s="69" t="str">
        <f t="shared" si="49"/>
        <v>未選択</v>
      </c>
      <c r="AI91" s="70"/>
      <c r="AJ91" s="26"/>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row>
    <row r="92" spans="1:85" ht="31.5" customHeight="1" thickBot="1">
      <c r="A92" s="13"/>
      <c r="B92" s="13"/>
      <c r="C92" s="513">
        <f t="shared" si="50"/>
        <v>8</v>
      </c>
      <c r="D92" s="514"/>
      <c r="E92" s="475" t="str">
        <f>取組リスト!B10</f>
        <v>日常及び定期的な保守・点検・修理の実施・記録</v>
      </c>
      <c r="F92" s="476"/>
      <c r="G92" s="476"/>
      <c r="H92" s="476"/>
      <c r="I92" s="476"/>
      <c r="J92" s="476"/>
      <c r="K92" s="476"/>
      <c r="L92" s="476"/>
      <c r="M92" s="477"/>
      <c r="N92" s="27"/>
      <c r="O92" s="47" t="s">
        <v>4093</v>
      </c>
      <c r="P92" s="47"/>
      <c r="Q92" s="47"/>
      <c r="R92" s="47" t="s">
        <v>4227</v>
      </c>
      <c r="S92" s="47"/>
      <c r="T92" s="47"/>
      <c r="U92" s="47" t="s">
        <v>4094</v>
      </c>
      <c r="V92" s="47"/>
      <c r="W92" s="47"/>
      <c r="X92" s="47"/>
      <c r="Y92" s="47"/>
      <c r="Z92" s="28"/>
      <c r="AA92" s="513" t="str">
        <f>IF(OR(基本設定シート!$B$11=基本設定シート!$C$6,基本設定シート!$B$11=基本設定シート!$C$7),'入力シート（2028年度提出用）'!AH92,IF(基本設定シート!$B$11=基本設定シート!$C$8,'入力シート（2026年度提出用）'!AH92,""))</f>
        <v>未選択</v>
      </c>
      <c r="AB92" s="539"/>
      <c r="AC92" s="539"/>
      <c r="AD92" s="514"/>
      <c r="AE92" s="13"/>
      <c r="AF92" s="20"/>
      <c r="AG92" s="7"/>
      <c r="AH92" s="69" t="str">
        <f t="shared" si="49"/>
        <v>未選択</v>
      </c>
      <c r="AI92" s="70"/>
      <c r="AJ92" s="26"/>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row>
    <row r="93" spans="1:85" ht="31.5" customHeight="1" thickBot="1">
      <c r="A93" s="13"/>
      <c r="B93" s="13"/>
      <c r="C93" s="513">
        <f t="shared" si="50"/>
        <v>9</v>
      </c>
      <c r="D93" s="514"/>
      <c r="E93" s="475" t="str">
        <f>取組リスト!B11</f>
        <v>目的地までの効率的なルート選定</v>
      </c>
      <c r="F93" s="476"/>
      <c r="G93" s="476"/>
      <c r="H93" s="476"/>
      <c r="I93" s="476"/>
      <c r="J93" s="476"/>
      <c r="K93" s="476"/>
      <c r="L93" s="476"/>
      <c r="M93" s="477"/>
      <c r="N93" s="27"/>
      <c r="O93" s="47" t="s">
        <v>4093</v>
      </c>
      <c r="P93" s="47"/>
      <c r="Q93" s="47"/>
      <c r="R93" s="47" t="s">
        <v>4227</v>
      </c>
      <c r="S93" s="47"/>
      <c r="T93" s="47"/>
      <c r="U93" s="47" t="s">
        <v>4094</v>
      </c>
      <c r="V93" s="47"/>
      <c r="W93" s="47"/>
      <c r="X93" s="47"/>
      <c r="Y93" s="47"/>
      <c r="Z93" s="28"/>
      <c r="AA93" s="513" t="str">
        <f>IF(OR(基本設定シート!$B$11=基本設定シート!$C$6,基本設定シート!$B$11=基本設定シート!$C$7),'入力シート（2028年度提出用）'!AH93,IF(基本設定シート!$B$11=基本設定シート!$C$8,'入力シート（2026年度提出用）'!AH93,""))</f>
        <v>未選択</v>
      </c>
      <c r="AB93" s="539"/>
      <c r="AC93" s="539"/>
      <c r="AD93" s="514"/>
      <c r="AE93" s="13"/>
      <c r="AF93" s="20"/>
      <c r="AG93" s="7"/>
      <c r="AH93" s="69" t="str">
        <f t="shared" si="49"/>
        <v>未選択</v>
      </c>
      <c r="AI93" s="70"/>
      <c r="AJ93" s="26"/>
      <c r="AK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row>
    <row r="94" spans="1:85" ht="31.5" customHeight="1" thickBot="1">
      <c r="A94" s="13"/>
      <c r="B94" s="13"/>
      <c r="C94" s="513">
        <f t="shared" si="50"/>
        <v>10</v>
      </c>
      <c r="D94" s="514"/>
      <c r="E94" s="475" t="str">
        <f>取組リスト!B12</f>
        <v>目的や輸送量に応じた車両を使用するなどの適切な車両管理</v>
      </c>
      <c r="F94" s="476"/>
      <c r="G94" s="476"/>
      <c r="H94" s="476"/>
      <c r="I94" s="476"/>
      <c r="J94" s="476"/>
      <c r="K94" s="476"/>
      <c r="L94" s="476"/>
      <c r="M94" s="477"/>
      <c r="N94" s="27"/>
      <c r="O94" s="47" t="s">
        <v>4093</v>
      </c>
      <c r="P94" s="47"/>
      <c r="Q94" s="47"/>
      <c r="R94" s="47" t="s">
        <v>4227</v>
      </c>
      <c r="S94" s="47"/>
      <c r="T94" s="47"/>
      <c r="U94" s="47" t="s">
        <v>4094</v>
      </c>
      <c r="V94" s="47"/>
      <c r="W94" s="47"/>
      <c r="X94" s="47"/>
      <c r="Y94" s="47"/>
      <c r="Z94" s="28"/>
      <c r="AA94" s="513" t="str">
        <f>IF(OR(基本設定シート!$B$11=基本設定シート!$C$6,基本設定シート!$B$11=基本設定シート!$C$7),'入力シート（2028年度提出用）'!AH94,IF(基本設定シート!$B$11=基本設定シート!$C$8,'入力シート（2026年度提出用）'!AH94,""))</f>
        <v>未選択</v>
      </c>
      <c r="AB94" s="539"/>
      <c r="AC94" s="539"/>
      <c r="AD94" s="514"/>
      <c r="AE94" s="13"/>
      <c r="AF94" s="20"/>
      <c r="AG94" s="7"/>
      <c r="AH94" s="69" t="str">
        <f t="shared" si="49"/>
        <v>未選択</v>
      </c>
      <c r="AI94" s="70"/>
      <c r="AJ94" s="26"/>
      <c r="AK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row>
    <row r="95" spans="1:85" ht="31.5" customHeight="1" thickBot="1">
      <c r="A95" s="13"/>
      <c r="B95" s="13"/>
      <c r="C95" s="513">
        <f t="shared" si="50"/>
        <v>11</v>
      </c>
      <c r="D95" s="514"/>
      <c r="E95" s="475" t="str">
        <f>取組リスト!B13</f>
        <v>燃費が向上する装置等の計画的な導入（アイドリングストップ装置や低燃費タイヤ等）</v>
      </c>
      <c r="F95" s="476"/>
      <c r="G95" s="476"/>
      <c r="H95" s="476"/>
      <c r="I95" s="476"/>
      <c r="J95" s="476"/>
      <c r="K95" s="476"/>
      <c r="L95" s="476"/>
      <c r="M95" s="477"/>
      <c r="N95" s="27"/>
      <c r="O95" s="47" t="s">
        <v>4093</v>
      </c>
      <c r="P95" s="47"/>
      <c r="Q95" s="47"/>
      <c r="R95" s="47" t="s">
        <v>4227</v>
      </c>
      <c r="S95" s="47"/>
      <c r="T95" s="47"/>
      <c r="U95" s="47" t="s">
        <v>4094</v>
      </c>
      <c r="V95" s="47"/>
      <c r="W95" s="47"/>
      <c r="X95" s="47"/>
      <c r="Y95" s="47"/>
      <c r="Z95" s="28"/>
      <c r="AA95" s="513" t="str">
        <f>IF(OR(基本設定シート!$B$11=基本設定シート!$C$6,基本設定シート!$B$11=基本設定シート!$C$7),'入力シート（2028年度提出用）'!AH95,IF(基本設定シート!$B$11=基本設定シート!$C$8,'入力シート（2026年度提出用）'!AH95,""))</f>
        <v>未選択</v>
      </c>
      <c r="AB95" s="539"/>
      <c r="AC95" s="539"/>
      <c r="AD95" s="514"/>
      <c r="AE95" s="13"/>
      <c r="AF95" s="20"/>
      <c r="AG95" s="7"/>
      <c r="AH95" s="69" t="str">
        <f t="shared" si="49"/>
        <v>未選択</v>
      </c>
      <c r="AI95" s="70"/>
      <c r="AJ95" s="26"/>
      <c r="AK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row>
    <row r="96" spans="1:85" ht="31.5" customHeight="1" thickBot="1">
      <c r="A96" s="13"/>
      <c r="B96" s="13"/>
      <c r="C96" s="513">
        <f t="shared" si="50"/>
        <v>12</v>
      </c>
      <c r="D96" s="514"/>
      <c r="E96" s="475" t="str">
        <f>取組リスト!B14</f>
        <v>次世代自動車の導入（電気自動車、低炭素ディーゼル自動車、ハイブリッド自動車等）</v>
      </c>
      <c r="F96" s="476"/>
      <c r="G96" s="476"/>
      <c r="H96" s="476"/>
      <c r="I96" s="476"/>
      <c r="J96" s="476"/>
      <c r="K96" s="476"/>
      <c r="L96" s="476"/>
      <c r="M96" s="477"/>
      <c r="N96" s="27"/>
      <c r="O96" s="47" t="s">
        <v>4093</v>
      </c>
      <c r="P96" s="47"/>
      <c r="Q96" s="47"/>
      <c r="R96" s="47" t="s">
        <v>4227</v>
      </c>
      <c r="S96" s="47"/>
      <c r="T96" s="47"/>
      <c r="U96" s="47" t="s">
        <v>4094</v>
      </c>
      <c r="V96" s="47"/>
      <c r="W96" s="47"/>
      <c r="X96" s="47"/>
      <c r="Y96" s="47"/>
      <c r="Z96" s="28"/>
      <c r="AA96" s="513" t="str">
        <f>IF(OR(基本設定シート!$B$11=基本設定シート!$C$6,基本設定シート!$B$11=基本設定シート!$C$7),'入力シート（2028年度提出用）'!AH96,IF(基本設定シート!$B$11=基本設定シート!$C$8,'入力シート（2026年度提出用）'!AH96,""))</f>
        <v>未選択</v>
      </c>
      <c r="AB96" s="539"/>
      <c r="AC96" s="539"/>
      <c r="AD96" s="514"/>
      <c r="AE96" s="13"/>
      <c r="AF96" s="20"/>
      <c r="AG96" s="7"/>
      <c r="AH96" s="69" t="str">
        <f t="shared" si="49"/>
        <v>未選択</v>
      </c>
      <c r="AI96" s="70"/>
      <c r="AJ96" s="26"/>
      <c r="AK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row>
    <row r="97" spans="1:85" ht="31.5" customHeight="1" thickBot="1">
      <c r="A97" s="13"/>
      <c r="B97" s="13"/>
      <c r="C97" s="513">
        <f t="shared" si="50"/>
        <v>13</v>
      </c>
      <c r="D97" s="514"/>
      <c r="E97" s="475" t="str">
        <f>取組リスト!B15</f>
        <v>事業所内における空調設定温度のルール化</v>
      </c>
      <c r="F97" s="476"/>
      <c r="G97" s="476"/>
      <c r="H97" s="476"/>
      <c r="I97" s="476"/>
      <c r="J97" s="476"/>
      <c r="K97" s="476"/>
      <c r="L97" s="476"/>
      <c r="M97" s="477"/>
      <c r="N97" s="27"/>
      <c r="O97" s="47" t="s">
        <v>4093</v>
      </c>
      <c r="P97" s="47"/>
      <c r="Q97" s="47"/>
      <c r="R97" s="47" t="s">
        <v>4227</v>
      </c>
      <c r="S97" s="47"/>
      <c r="T97" s="47"/>
      <c r="U97" s="47" t="s">
        <v>4094</v>
      </c>
      <c r="V97" s="47"/>
      <c r="W97" s="47"/>
      <c r="X97" s="47"/>
      <c r="Y97" s="47"/>
      <c r="Z97" s="28"/>
      <c r="AA97" s="513" t="str">
        <f>IF(OR(基本設定シート!$B$11=基本設定シート!$C$6,基本設定シート!$B$11=基本設定シート!$C$7),'入力シート（2028年度提出用）'!AH97,IF(基本設定シート!$B$11=基本設定シート!$C$8,'入力シート（2026年度提出用）'!AH97,""))</f>
        <v>未選択</v>
      </c>
      <c r="AB97" s="539"/>
      <c r="AC97" s="539"/>
      <c r="AD97" s="514"/>
      <c r="AE97" s="13"/>
      <c r="AF97" s="20"/>
      <c r="AG97" s="7"/>
      <c r="AH97" s="69" t="str">
        <f t="shared" si="49"/>
        <v>未選択</v>
      </c>
      <c r="AI97" s="70"/>
      <c r="AJ97" s="26"/>
      <c r="AK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row>
    <row r="98" spans="1:85" ht="31.5" customHeight="1" thickBot="1">
      <c r="A98" s="13"/>
      <c r="B98" s="13"/>
      <c r="C98" s="513">
        <f t="shared" si="50"/>
        <v>14</v>
      </c>
      <c r="D98" s="514"/>
      <c r="E98" s="475" t="str">
        <f>取組リスト!B16</f>
        <v>事業所内における照明点灯に関するルール化（休憩時間や不使用時の消灯等）</v>
      </c>
      <c r="F98" s="476"/>
      <c r="G98" s="476"/>
      <c r="H98" s="476"/>
      <c r="I98" s="476"/>
      <c r="J98" s="476"/>
      <c r="K98" s="476"/>
      <c r="L98" s="476"/>
      <c r="M98" s="477"/>
      <c r="N98" s="27"/>
      <c r="O98" s="47" t="s">
        <v>4093</v>
      </c>
      <c r="P98" s="47"/>
      <c r="Q98" s="47"/>
      <c r="R98" s="47" t="s">
        <v>4227</v>
      </c>
      <c r="S98" s="47"/>
      <c r="T98" s="47"/>
      <c r="U98" s="47" t="s">
        <v>4094</v>
      </c>
      <c r="V98" s="47"/>
      <c r="W98" s="47"/>
      <c r="X98" s="47"/>
      <c r="Y98" s="47"/>
      <c r="Z98" s="28"/>
      <c r="AA98" s="513" t="str">
        <f>IF(OR(基本設定シート!$B$11=基本設定シート!$C$6,基本設定シート!$B$11=基本設定シート!$C$7),'入力シート（2028年度提出用）'!AH98,IF(基本設定シート!$B$11=基本設定シート!$C$8,'入力シート（2026年度提出用）'!AH98,""))</f>
        <v>未選択</v>
      </c>
      <c r="AB98" s="539"/>
      <c r="AC98" s="539"/>
      <c r="AD98" s="514"/>
      <c r="AE98" s="13"/>
      <c r="AF98" s="20"/>
      <c r="AG98" s="7"/>
      <c r="AH98" s="69" t="str">
        <f t="shared" si="49"/>
        <v>未選択</v>
      </c>
      <c r="AI98" s="70"/>
      <c r="AJ98" s="26"/>
      <c r="AK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row>
    <row r="99" spans="1:85" ht="31.5" customHeight="1" thickBot="1">
      <c r="A99" s="13"/>
      <c r="B99" s="13"/>
      <c r="C99" s="513">
        <f t="shared" si="50"/>
        <v>15</v>
      </c>
      <c r="D99" s="514"/>
      <c r="E99" s="475" t="str">
        <f>取組リスト!B17</f>
        <v>省エネルギー設備（LED照明、空調、給湯器、冷蔵庫等）への更新</v>
      </c>
      <c r="F99" s="476"/>
      <c r="G99" s="476"/>
      <c r="H99" s="476"/>
      <c r="I99" s="476"/>
      <c r="J99" s="476"/>
      <c r="K99" s="476"/>
      <c r="L99" s="476"/>
      <c r="M99" s="477"/>
      <c r="N99" s="27"/>
      <c r="O99" s="47" t="s">
        <v>4105</v>
      </c>
      <c r="P99" s="47"/>
      <c r="Q99" s="47"/>
      <c r="R99" s="47" t="s">
        <v>4227</v>
      </c>
      <c r="S99" s="47"/>
      <c r="T99" s="47"/>
      <c r="U99" s="47" t="s">
        <v>4094</v>
      </c>
      <c r="V99" s="47"/>
      <c r="W99" s="47"/>
      <c r="X99" s="47"/>
      <c r="Y99" s="47"/>
      <c r="Z99" s="28"/>
      <c r="AA99" s="513" t="str">
        <f>IF(OR(基本設定シート!$B$11=基本設定シート!$C$6,基本設定シート!$B$11=基本設定シート!$C$7),'入力シート（2028年度提出用）'!AH99,IF(基本設定シート!$B$11=基本設定シート!$C$8,'入力シート（2026年度提出用）'!AH99,""))</f>
        <v>未選択</v>
      </c>
      <c r="AB99" s="539"/>
      <c r="AC99" s="539"/>
      <c r="AD99" s="514"/>
      <c r="AE99" s="13"/>
      <c r="AF99" s="20"/>
      <c r="AG99" s="7"/>
      <c r="AH99" s="69" t="str">
        <f t="shared" si="49"/>
        <v>未選択</v>
      </c>
      <c r="AI99" s="70"/>
      <c r="AJ99" s="26"/>
      <c r="AK99" s="20"/>
      <c r="AL99" s="71"/>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row>
    <row r="100" spans="1:85" ht="31.5" customHeight="1" thickBot="1">
      <c r="A100" s="13"/>
      <c r="B100" s="13"/>
      <c r="C100" s="513">
        <f t="shared" si="50"/>
        <v>16</v>
      </c>
      <c r="D100" s="514"/>
      <c r="E100" s="475" t="str">
        <f>取組リスト!B18</f>
        <v>再エネ設備（太陽光発電等）の導入や再エネ電力の調達</v>
      </c>
      <c r="F100" s="476"/>
      <c r="G100" s="476"/>
      <c r="H100" s="476"/>
      <c r="I100" s="476"/>
      <c r="J100" s="476"/>
      <c r="K100" s="476"/>
      <c r="L100" s="476"/>
      <c r="M100" s="477"/>
      <c r="N100" s="27"/>
      <c r="O100" s="47" t="s">
        <v>4093</v>
      </c>
      <c r="P100" s="47"/>
      <c r="Q100" s="47"/>
      <c r="R100" s="47" t="s">
        <v>4227</v>
      </c>
      <c r="S100" s="47"/>
      <c r="T100" s="47"/>
      <c r="U100" s="47" t="s">
        <v>4094</v>
      </c>
      <c r="V100" s="47"/>
      <c r="W100" s="47"/>
      <c r="X100" s="47"/>
      <c r="Y100" s="47"/>
      <c r="Z100" s="28"/>
      <c r="AA100" s="513" t="str">
        <f>IF(OR(基本設定シート!$B$11=基本設定シート!$C$6,基本設定シート!$B$11=基本設定シート!$C$7),'入力シート（2028年度提出用）'!AH100,IF(基本設定シート!$B$11=基本設定シート!$C$8,'入力シート（2026年度提出用）'!AH100,""))</f>
        <v>未選択</v>
      </c>
      <c r="AB100" s="539"/>
      <c r="AC100" s="539"/>
      <c r="AD100" s="514"/>
      <c r="AE100" s="13"/>
      <c r="AF100" s="20"/>
      <c r="AG100" s="7"/>
      <c r="AH100" s="69" t="str">
        <f t="shared" ref="AH100" si="51">IF(AG100=1,O100,IF(AG100=2,R100,IF(AG100=3,U100,"未選択")))</f>
        <v>未選択</v>
      </c>
      <c r="AI100" s="70"/>
      <c r="AJ100" s="26"/>
      <c r="AK100" s="20"/>
      <c r="AL100" s="71" t="s">
        <v>4106</v>
      </c>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row>
    <row r="101" spans="1:85" ht="31.5" customHeight="1" thickBot="1">
      <c r="A101" s="13"/>
      <c r="B101" s="13"/>
      <c r="C101" s="513">
        <f t="shared" si="50"/>
        <v>17</v>
      </c>
      <c r="D101" s="514"/>
      <c r="E101" s="569" t="str">
        <f>IF('入力シート（2028年度提出用）'!AH101="項目設定なし","（自由記述欄）",'入力シート（2028年度提出用）'!E101)</f>
        <v>（自由記述欄）</v>
      </c>
      <c r="F101" s="570"/>
      <c r="G101" s="570"/>
      <c r="H101" s="570"/>
      <c r="I101" s="570"/>
      <c r="J101" s="570"/>
      <c r="K101" s="570"/>
      <c r="L101" s="570"/>
      <c r="M101" s="571"/>
      <c r="N101" s="27"/>
      <c r="O101" s="47" t="s">
        <v>4093</v>
      </c>
      <c r="P101" s="47"/>
      <c r="Q101" s="47"/>
      <c r="R101" s="47" t="s">
        <v>4227</v>
      </c>
      <c r="S101" s="47"/>
      <c r="T101" s="47"/>
      <c r="U101" s="47"/>
      <c r="V101" s="47"/>
      <c r="W101" s="47"/>
      <c r="X101" s="47"/>
      <c r="Y101" s="47"/>
      <c r="Z101" s="28"/>
      <c r="AA101" s="513" t="str">
        <f>IF(OR(基本設定シート!$B$11=基本設定シート!$C$6,基本設定シート!$B$11=基本設定シート!$C$7),IF('入力シート（2028年度提出用）'!AH101="項目設定なし","-",'入力シート（2028年度提出用）'!AH101),IF(基本設定シート!$B$11=基本設定シート!$C$8,IF('入力シート（2026年度提出用）'!AH101="項目設定なし","-",'入力シート（2026年度提出用）'!AH101),""))</f>
        <v>-</v>
      </c>
      <c r="AB101" s="539"/>
      <c r="AC101" s="539"/>
      <c r="AD101" s="514"/>
      <c r="AE101" s="13"/>
      <c r="AF101" s="20"/>
      <c r="AG101" s="7"/>
      <c r="AH101" s="69" t="str">
        <f>IF(OR(E101="（自由記述欄）",E101=""),"項目設定なし",IF(AG101=1,O101,IF(AG101=2,R101,"未選択")))</f>
        <v>項目設定なし</v>
      </c>
      <c r="AI101" s="70"/>
      <c r="AJ101" s="26"/>
      <c r="AK101" s="20"/>
      <c r="AL101" s="24"/>
      <c r="AM101" s="42" t="s">
        <v>4099</v>
      </c>
      <c r="AN101" s="42" t="s">
        <v>4100</v>
      </c>
      <c r="AO101" s="42" t="s">
        <v>4101</v>
      </c>
      <c r="AP101" s="42" t="s">
        <v>4102</v>
      </c>
      <c r="AQ101" s="42" t="s">
        <v>4103</v>
      </c>
      <c r="AR101" s="42" t="s">
        <v>4096</v>
      </c>
      <c r="AS101" s="42" t="s">
        <v>4104</v>
      </c>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row>
    <row r="102" spans="1:85" ht="31.5" customHeight="1" thickBot="1">
      <c r="A102" s="13"/>
      <c r="B102" s="13"/>
      <c r="C102" s="513">
        <f t="shared" si="50"/>
        <v>18</v>
      </c>
      <c r="D102" s="514"/>
      <c r="E102" s="569" t="str">
        <f>IF('入力シート（2028年度提出用）'!AH102="項目設定なし","（自由記述欄）",'入力シート（2028年度提出用）'!E102)</f>
        <v>（自由記述欄）</v>
      </c>
      <c r="F102" s="570"/>
      <c r="G102" s="570"/>
      <c r="H102" s="570"/>
      <c r="I102" s="570"/>
      <c r="J102" s="570"/>
      <c r="K102" s="570"/>
      <c r="L102" s="570"/>
      <c r="M102" s="571"/>
      <c r="N102" s="27"/>
      <c r="O102" s="47" t="s">
        <v>4093</v>
      </c>
      <c r="P102" s="47"/>
      <c r="Q102" s="47"/>
      <c r="R102" s="47" t="s">
        <v>4227</v>
      </c>
      <c r="S102" s="47"/>
      <c r="T102" s="47"/>
      <c r="U102" s="47"/>
      <c r="V102" s="47"/>
      <c r="W102" s="47"/>
      <c r="X102" s="47"/>
      <c r="Y102" s="47"/>
      <c r="Z102" s="28"/>
      <c r="AA102" s="513" t="str">
        <f>IF(OR(基本設定シート!$B$11=基本設定シート!$C$6,基本設定シート!$B$11=基本設定シート!$C$7),IF('入力シート（2028年度提出用）'!AH102="項目設定なし","-",'入力シート（2028年度提出用）'!AH102),IF(基本設定シート!$B$11=基本設定シート!$C$8,IF('入力シート（2026年度提出用）'!AH102="項目設定なし","-",'入力シート（2026年度提出用）'!AH102),""))</f>
        <v>-</v>
      </c>
      <c r="AB102" s="539"/>
      <c r="AC102" s="539"/>
      <c r="AD102" s="514"/>
      <c r="AE102" s="13"/>
      <c r="AF102" s="20"/>
      <c r="AG102" s="7"/>
      <c r="AH102" s="69" t="str">
        <f t="shared" ref="AH102:AH105" si="52">IF(OR(E102="（自由記述欄）",E102=""),"項目設定なし",IF(AG102=1,O102,IF(AG102=2,R102,"未選択")))</f>
        <v>項目設定なし</v>
      </c>
      <c r="AI102" s="70"/>
      <c r="AJ102" s="26"/>
      <c r="AK102" s="20"/>
      <c r="AL102" s="42" t="str">
        <f>基本設定シート!$B$11-1&amp;"年度"</f>
        <v>2025年度</v>
      </c>
      <c r="AM102" s="42">
        <f>'入力シート（2026年度提出用）'!AM102</f>
        <v>0</v>
      </c>
      <c r="AN102" s="42">
        <f>'入力シート（2026年度提出用）'!AN102</f>
        <v>0</v>
      </c>
      <c r="AO102" s="42" t="s">
        <v>27</v>
      </c>
      <c r="AP102" s="42" t="s">
        <v>27</v>
      </c>
      <c r="AQ102" s="42">
        <f>'入力シート（2026年度提出用）'!AQ102</f>
        <v>0</v>
      </c>
      <c r="AR102" s="72">
        <f>IF(AQ102=0,0,AM102/AQ102)</f>
        <v>0</v>
      </c>
      <c r="AS102" s="72">
        <f>IF(AQ102=0,0,(AM102+AN102)/AQ102)</f>
        <v>0</v>
      </c>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row>
    <row r="103" spans="1:85" ht="31.5" customHeight="1" thickBot="1">
      <c r="A103" s="13"/>
      <c r="B103" s="13"/>
      <c r="C103" s="513">
        <f t="shared" si="50"/>
        <v>19</v>
      </c>
      <c r="D103" s="514"/>
      <c r="E103" s="569" t="str">
        <f>IF('入力シート（2028年度提出用）'!AH103="項目設定なし","（自由記述欄）",'入力シート（2028年度提出用）'!E103)</f>
        <v>（自由記述欄）</v>
      </c>
      <c r="F103" s="570"/>
      <c r="G103" s="570"/>
      <c r="H103" s="570"/>
      <c r="I103" s="570"/>
      <c r="J103" s="570"/>
      <c r="K103" s="570"/>
      <c r="L103" s="570"/>
      <c r="M103" s="571"/>
      <c r="N103" s="27"/>
      <c r="O103" s="47" t="s">
        <v>4093</v>
      </c>
      <c r="P103" s="47"/>
      <c r="Q103" s="47"/>
      <c r="R103" s="47" t="s">
        <v>4227</v>
      </c>
      <c r="S103" s="47"/>
      <c r="T103" s="47"/>
      <c r="U103" s="47"/>
      <c r="V103" s="47"/>
      <c r="W103" s="47"/>
      <c r="X103" s="47"/>
      <c r="Y103" s="47"/>
      <c r="Z103" s="28"/>
      <c r="AA103" s="513" t="str">
        <f>IF(OR(基本設定シート!$B$11=基本設定シート!$C$6,基本設定シート!$B$11=基本設定シート!$C$7),IF('入力シート（2028年度提出用）'!AH103="項目設定なし","-",'入力シート（2028年度提出用）'!AH103),IF(基本設定シート!$B$11=基本設定シート!$C$8,IF('入力シート（2026年度提出用）'!AH103="項目設定なし","-",'入力シート（2026年度提出用）'!AH103),""))</f>
        <v>-</v>
      </c>
      <c r="AB103" s="539"/>
      <c r="AC103" s="539"/>
      <c r="AD103" s="514"/>
      <c r="AE103" s="13"/>
      <c r="AF103" s="20"/>
      <c r="AG103" s="7"/>
      <c r="AH103" s="69" t="str">
        <f t="shared" si="52"/>
        <v>項目設定なし</v>
      </c>
      <c r="AI103" s="70"/>
      <c r="AJ103" s="26"/>
      <c r="AK103" s="20"/>
      <c r="AL103" s="42" t="str">
        <f>基本設定シート!$B$11&amp;"年度"</f>
        <v>2026年度</v>
      </c>
      <c r="AM103" s="42">
        <f>IF(基本設定シート!$B$11=基本設定シート!$C$6,COUNTIFS('入力シート（2027年度提出用）'!$AG$101:$AG$105,1,'入力シート（2027年度提出用）'!$AH$101:$AH$105,"&lt;&gt;項目設定なし"),IF(基本設定シート!$B$11=基本設定シート!$C$7,COUNTIFS('入力シート（2028年度提出用）'!$AG$101:$AG$105,1,'入力シート（2028年度提出用）'!$AH$101:$AH$105,"&lt;&gt;項目設定なし"),IF(基本設定シート!$B$11=基本設定シート!$C$8,COUNTIFS($AG$101:$AG$105,1,$AH$101:$AH$105,"&lt;&gt;項目設定なし"),"")))</f>
        <v>0</v>
      </c>
      <c r="AN103" s="42">
        <f>IF(基本設定シート!$B$11=基本設定シート!$C$6,COUNTIFS('入力シート（2027年度提出用）'!$AG$101:$AG$105,2,'入力シート（2027年度提出用）'!$AH$101:$AH$105,"&lt;&gt;項目設定なし"),IF(基本設定シート!$B$11=基本設定シート!$C$7,COUNTIFS('入力シート（2028年度提出用）'!$AG$101:$AG$105,2,'入力シート（2028年度提出用）'!$AH$101:$AH$105,"&lt;&gt;項目設定なし"),IF(基本設定シート!$B$11=基本設定シート!$C$8,COUNTIFS($AG$101:$AG$105,2,$AH$101:$AH$105,"&lt;&gt;項目設定なし"),"")))</f>
        <v>0</v>
      </c>
      <c r="AO103" s="42" t="s">
        <v>27</v>
      </c>
      <c r="AP103" s="42" t="s">
        <v>27</v>
      </c>
      <c r="AQ103" s="42">
        <f>IF(基本設定シート!$B$11=基本設定シート!$C$6,COUNTIF('入力シート（2027年度提出用）'!$AH$101:$AH$105,"&lt;&gt;項目設定なし"),IF(基本設定シート!$B$11=基本設定シート!$C$7,COUNTIF('入力シート（2028年度提出用）'!$AH$101:$AH$105,"&lt;&gt;項目設定なし"),IF(基本設定シート!$B$11=基本設定シート!$C$8,COUNTIF($AH$101:$AH$105,"&lt;&gt;項目設定なし"),"")))</f>
        <v>0</v>
      </c>
      <c r="AR103" s="72">
        <f>IF(AQ103=0,0,AM103/AQ103)</f>
        <v>0</v>
      </c>
      <c r="AS103" s="72">
        <f>IF(AQ103=0,0,(AM103+AN103)/AQ103)</f>
        <v>0</v>
      </c>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row>
    <row r="104" spans="1:85" ht="31.5" customHeight="1" thickBot="1">
      <c r="A104" s="13"/>
      <c r="B104" s="13"/>
      <c r="C104" s="513">
        <f t="shared" si="50"/>
        <v>20</v>
      </c>
      <c r="D104" s="514"/>
      <c r="E104" s="569" t="str">
        <f>IF('入力シート（2028年度提出用）'!AH104="項目設定なし","（自由記述欄）",'入力シート（2028年度提出用）'!E104)</f>
        <v>（自由記述欄）</v>
      </c>
      <c r="F104" s="570"/>
      <c r="G104" s="570"/>
      <c r="H104" s="570"/>
      <c r="I104" s="570"/>
      <c r="J104" s="570"/>
      <c r="K104" s="570"/>
      <c r="L104" s="570"/>
      <c r="M104" s="571"/>
      <c r="N104" s="27"/>
      <c r="O104" s="47" t="s">
        <v>4093</v>
      </c>
      <c r="P104" s="47"/>
      <c r="Q104" s="47"/>
      <c r="R104" s="47" t="s">
        <v>4227</v>
      </c>
      <c r="S104" s="47"/>
      <c r="T104" s="47"/>
      <c r="U104" s="47"/>
      <c r="V104" s="47"/>
      <c r="W104" s="47"/>
      <c r="X104" s="47"/>
      <c r="Y104" s="47"/>
      <c r="Z104" s="28"/>
      <c r="AA104" s="513" t="str">
        <f>IF(OR(基本設定シート!$B$11=基本設定シート!$C$6,基本設定シート!$B$11=基本設定シート!$C$7),IF('入力シート（2028年度提出用）'!AH104="項目設定なし","-",'入力シート（2028年度提出用）'!AH104),IF(基本設定シート!$B$11=基本設定シート!$C$8,IF('入力シート（2026年度提出用）'!AH104="項目設定なし","-",'入力シート（2026年度提出用）'!AH104),""))</f>
        <v>-</v>
      </c>
      <c r="AB104" s="539"/>
      <c r="AC104" s="539"/>
      <c r="AD104" s="514"/>
      <c r="AE104" s="13"/>
      <c r="AF104" s="20"/>
      <c r="AG104" s="7"/>
      <c r="AH104" s="69" t="str">
        <f t="shared" si="52"/>
        <v>項目設定なし</v>
      </c>
      <c r="AI104" s="70"/>
      <c r="AJ104" s="26"/>
      <c r="AK104" s="20"/>
      <c r="AL104" s="42" t="str">
        <f>IF(基本設定シート!$B$11=基本設定シート!$C$8,"",基本設定シート!$B$11+1&amp;"年度")</f>
        <v>2027年度</v>
      </c>
      <c r="AM104" s="42">
        <f>IF(基本設定シート!$B$11=基本設定シート!$C$6,COUNTIFS('入力シート（2028年度提出用）'!$AG$101:$AG$105,1,'入力シート（2028年度提出用）'!$AH$101:$AH$105,"&lt;&gt;項目設定なし"),IF(基本設定シート!$B$11=基本設定シート!$C$7,COUNTIFS($AG$101:$AG$105,1,$AH$101:$AH$105,"&lt;&gt;項目設定なし"),""))</f>
        <v>0</v>
      </c>
      <c r="AN104" s="42">
        <f>IF(基本設定シート!$B$11=基本設定シート!$C$6,COUNTIFS('入力シート（2028年度提出用）'!$AG$101:$AG$105,2,'入力シート（2028年度提出用）'!$AH$101:$AH$105,"&lt;&gt;項目設定なし"),IF(基本設定シート!$B$11=基本設定シート!$C$7,COUNTIFS($AG$101:$AG$105,2,$AH$101:$AH$105,"&lt;&gt;項目設定なし"),""))</f>
        <v>0</v>
      </c>
      <c r="AO104" s="42" t="s">
        <v>4052</v>
      </c>
      <c r="AP104" s="42" t="s">
        <v>4052</v>
      </c>
      <c r="AQ104" s="42">
        <f>IF(基本設定シート!$B$11=基本設定シート!$C$6,COUNTIF('入力シート（2028年度提出用）'!$AH$101:$AH$105,"&lt;&gt;項目設定なし"),IF(基本設定シート!$B$11=基本設定シート!$C$7,COUNTIF($AH$101:$AH$105,"&lt;&gt;項目設定なし"),""))</f>
        <v>0</v>
      </c>
      <c r="AR104" s="72">
        <f>IFERROR(IF(AQ104=0,0,AM104/AQ104),"")</f>
        <v>0</v>
      </c>
      <c r="AS104" s="72">
        <f>IFERROR(IF(AQ104=0,0,(AM104+AN104)/AQ104),"")</f>
        <v>0</v>
      </c>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row>
    <row r="105" spans="1:85" ht="31.5" customHeight="1" thickBot="1">
      <c r="A105" s="13"/>
      <c r="B105" s="13"/>
      <c r="C105" s="513">
        <f t="shared" si="50"/>
        <v>21</v>
      </c>
      <c r="D105" s="514"/>
      <c r="E105" s="569" t="str">
        <f>IF('入力シート（2028年度提出用）'!AH105="項目設定なし","（自由記述欄）",'入力シート（2028年度提出用）'!E105)</f>
        <v>（自由記述欄）</v>
      </c>
      <c r="F105" s="570"/>
      <c r="G105" s="570"/>
      <c r="H105" s="570"/>
      <c r="I105" s="570"/>
      <c r="J105" s="570"/>
      <c r="K105" s="570"/>
      <c r="L105" s="570"/>
      <c r="M105" s="571"/>
      <c r="N105" s="27"/>
      <c r="O105" s="47" t="s">
        <v>4093</v>
      </c>
      <c r="P105" s="47"/>
      <c r="Q105" s="47"/>
      <c r="R105" s="47" t="s">
        <v>4227</v>
      </c>
      <c r="S105" s="47"/>
      <c r="T105" s="47"/>
      <c r="U105" s="47"/>
      <c r="V105" s="47"/>
      <c r="W105" s="47"/>
      <c r="X105" s="47"/>
      <c r="Y105" s="47"/>
      <c r="Z105" s="28"/>
      <c r="AA105" s="513" t="str">
        <f>IF(OR(基本設定シート!$B$11=基本設定シート!$C$6,基本設定シート!$B$11=基本設定シート!$C$7),IF('入力シート（2028年度提出用）'!AH105="項目設定なし","-",'入力シート（2028年度提出用）'!AH105),IF(基本設定シート!$B$11=基本設定シート!$C$8,IF('入力シート（2026年度提出用）'!AH105="項目設定なし","-",'入力シート（2026年度提出用）'!AH105),""))</f>
        <v>-</v>
      </c>
      <c r="AB105" s="539"/>
      <c r="AC105" s="539"/>
      <c r="AD105" s="514"/>
      <c r="AE105" s="13"/>
      <c r="AF105" s="20"/>
      <c r="AG105" s="7"/>
      <c r="AH105" s="69" t="str">
        <f t="shared" si="52"/>
        <v>項目設定なし</v>
      </c>
      <c r="AI105" s="70"/>
      <c r="AJ105" s="26"/>
      <c r="AK105" s="20"/>
      <c r="AL105" s="42" t="str">
        <f>IF(OR(基本設定シート!$B$11=基本設定シート!$C$7,基本設定シート!$B$11=基本設定シート!$C$8),"",基本設定シート!$B$11+2&amp;"年度")</f>
        <v>2028年度</v>
      </c>
      <c r="AM105" s="42">
        <f>IF(基本設定シート!$B$11=基本設定シート!$C$6,COUNTIFS($AG$101:$AG$105,1,$AH$101:$AH$105,"&lt;&gt;項目設定なし"),"")</f>
        <v>0</v>
      </c>
      <c r="AN105" s="42">
        <f>IF(基本設定シート!$B$11=基本設定シート!$C$6,COUNTIFS($AG$101:$AG$105,2,$AH$101:$AH$105,"&lt;&gt;項目設定なし"),"")</f>
        <v>0</v>
      </c>
      <c r="AO105" s="42" t="s">
        <v>4052</v>
      </c>
      <c r="AP105" s="42" t="s">
        <v>4052</v>
      </c>
      <c r="AQ105" s="42">
        <f>IF(基本設定シート!$B$11=基本設定シート!$C$6,COUNTIF($AH$101:$AH$105,"&lt;&gt;項目設定なし"),"")</f>
        <v>0</v>
      </c>
      <c r="AR105" s="72">
        <f>IFERROR(IF(AQ105=0,0,AM105/AQ105),"")</f>
        <v>0</v>
      </c>
      <c r="AS105" s="72">
        <f>IFERROR(IF(AQ105=0,0,(AM105+AN105)/AQ105),"")</f>
        <v>0</v>
      </c>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row>
    <row r="106" spans="1:85" ht="19.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96" t="str">
        <f>'入力シート（2026年度提出用）'!AE106</f>
        <v>ver260401-2</v>
      </c>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row>
    <row r="107" spans="1:85" ht="30.6" customHeight="1"/>
    <row r="108" spans="1:85" ht="30.6" customHeight="1"/>
    <row r="109" spans="1:85" ht="30.6" customHeight="1"/>
    <row r="110" spans="1:85" ht="30.6" customHeight="1"/>
    <row r="111" spans="1:85" ht="30.6" customHeight="1"/>
    <row r="112" spans="1:85" ht="30.6" customHeight="1"/>
    <row r="113" ht="30.6" customHeight="1"/>
    <row r="114" ht="11.1" customHeight="1"/>
    <row r="115" ht="30.6" customHeight="1"/>
    <row r="116" ht="30.6" customHeight="1"/>
    <row r="117" ht="30.6" customHeight="1"/>
    <row r="118" ht="30.6" customHeight="1"/>
    <row r="119" ht="30.6" customHeight="1"/>
    <row r="120" ht="30.6" customHeight="1"/>
    <row r="121" ht="30.6" customHeight="1"/>
    <row r="122" ht="30.6" customHeight="1"/>
    <row r="123" ht="30.6" customHeight="1"/>
    <row r="124" ht="30.6" customHeight="1"/>
    <row r="125" ht="30.6" customHeight="1"/>
    <row r="126" ht="30.6" customHeight="1"/>
    <row r="127" ht="30.6" customHeight="1"/>
  </sheetData>
  <sheetProtection algorithmName="SHA-512" hashValue="HUqm7myInUfZxBoQUUmWIgpsqXWysLYmujAXrVbqIoapCy9dKakLxn6Nw50QEpIo+cGZhHR3OCUrSlCt7vyLPg==" saltValue="PpDovCQMvV7TT2i6QTwpPg==" spinCount="100000" sheet="1" objects="1" scenarios="1" selectLockedCells="1"/>
  <mergeCells count="289">
    <mergeCell ref="C100:D100"/>
    <mergeCell ref="E100:M100"/>
    <mergeCell ref="AA100:AD100"/>
    <mergeCell ref="C99:D99"/>
    <mergeCell ref="C101:D101"/>
    <mergeCell ref="C102:D102"/>
    <mergeCell ref="C103:D103"/>
    <mergeCell ref="C104:D104"/>
    <mergeCell ref="C105:D105"/>
    <mergeCell ref="E105:M105"/>
    <mergeCell ref="AA105:AD105"/>
    <mergeCell ref="E102:M102"/>
    <mergeCell ref="AA102:AD102"/>
    <mergeCell ref="E103:M103"/>
    <mergeCell ref="AA103:AD103"/>
    <mergeCell ref="E104:M104"/>
    <mergeCell ref="AA104:AD104"/>
    <mergeCell ref="E101:M101"/>
    <mergeCell ref="AA101:AD101"/>
    <mergeCell ref="C92:D92"/>
    <mergeCell ref="C93:D93"/>
    <mergeCell ref="C94:D94"/>
    <mergeCell ref="C95:D95"/>
    <mergeCell ref="C96:D96"/>
    <mergeCell ref="C97:D97"/>
    <mergeCell ref="H39:L39"/>
    <mergeCell ref="H40:L40"/>
    <mergeCell ref="H41:L41"/>
    <mergeCell ref="H42:L42"/>
    <mergeCell ref="H43:L43"/>
    <mergeCell ref="H44:L44"/>
    <mergeCell ref="H45:L45"/>
    <mergeCell ref="H46:L46"/>
    <mergeCell ref="H47:L47"/>
    <mergeCell ref="F43:G45"/>
    <mergeCell ref="F46:G47"/>
    <mergeCell ref="C98:D98"/>
    <mergeCell ref="B48:E48"/>
    <mergeCell ref="F48:G48"/>
    <mergeCell ref="C84:D84"/>
    <mergeCell ref="C85:D85"/>
    <mergeCell ref="C86:D86"/>
    <mergeCell ref="C87:D87"/>
    <mergeCell ref="C88:D88"/>
    <mergeCell ref="C89:D89"/>
    <mergeCell ref="B59:G59"/>
    <mergeCell ref="C61:I61"/>
    <mergeCell ref="C67:H67"/>
    <mergeCell ref="B65:M65"/>
    <mergeCell ref="E84:M84"/>
    <mergeCell ref="E97:M97"/>
    <mergeCell ref="B50:G50"/>
    <mergeCell ref="E52:I52"/>
    <mergeCell ref="E85:M85"/>
    <mergeCell ref="E53:I53"/>
    <mergeCell ref="J53:K53"/>
    <mergeCell ref="J61:L61"/>
    <mergeCell ref="H48:L48"/>
    <mergeCell ref="C90:D90"/>
    <mergeCell ref="C91:D91"/>
    <mergeCell ref="T9:U9"/>
    <mergeCell ref="W11:X11"/>
    <mergeCell ref="Y9:Z9"/>
    <mergeCell ref="AA9:AB9"/>
    <mergeCell ref="B39:E39"/>
    <mergeCell ref="F39:G39"/>
    <mergeCell ref="B30:C35"/>
    <mergeCell ref="P11:U11"/>
    <mergeCell ref="E27:I27"/>
    <mergeCell ref="E28:I28"/>
    <mergeCell ref="Y11:AD11"/>
    <mergeCell ref="B10:E10"/>
    <mergeCell ref="B11:E11"/>
    <mergeCell ref="F11:L11"/>
    <mergeCell ref="N10:O10"/>
    <mergeCell ref="W14:X14"/>
    <mergeCell ref="Y14:AD14"/>
    <mergeCell ref="F9:G9"/>
    <mergeCell ref="N11:O11"/>
    <mergeCell ref="P9:Q9"/>
    <mergeCell ref="R9:S9"/>
    <mergeCell ref="B37:G37"/>
    <mergeCell ref="AJ4:AK4"/>
    <mergeCell ref="B6:E6"/>
    <mergeCell ref="N6:O6"/>
    <mergeCell ref="W6:X6"/>
    <mergeCell ref="B8:E8"/>
    <mergeCell ref="F8:L8"/>
    <mergeCell ref="N8:O8"/>
    <mergeCell ref="P8:U8"/>
    <mergeCell ref="W8:X8"/>
    <mergeCell ref="Y8:AD8"/>
    <mergeCell ref="AI8:AJ8"/>
    <mergeCell ref="AK8:AO8"/>
    <mergeCell ref="C4:E4"/>
    <mergeCell ref="AO22:AQ22"/>
    <mergeCell ref="CF21:CF22"/>
    <mergeCell ref="BS21:BS22"/>
    <mergeCell ref="B23:C29"/>
    <mergeCell ref="E26:I26"/>
    <mergeCell ref="E25:I25"/>
    <mergeCell ref="AP25:AQ25"/>
    <mergeCell ref="BP18:BR18"/>
    <mergeCell ref="AI9:AJ9"/>
    <mergeCell ref="AK9:AO9"/>
    <mergeCell ref="N12:O12"/>
    <mergeCell ref="W12:X12"/>
    <mergeCell ref="Y12:AD12"/>
    <mergeCell ref="B18:G18"/>
    <mergeCell ref="AA18:AD18"/>
    <mergeCell ref="W13:X13"/>
    <mergeCell ref="Y13:AD13"/>
    <mergeCell ref="P12:U12"/>
    <mergeCell ref="B9:E9"/>
    <mergeCell ref="F10:L10"/>
    <mergeCell ref="N9:O9"/>
    <mergeCell ref="W9:X9"/>
    <mergeCell ref="AC9:AD9"/>
    <mergeCell ref="W10:X10"/>
    <mergeCell ref="AP32:AQ32"/>
    <mergeCell ref="B40:E42"/>
    <mergeCell ref="AP33:AQ33"/>
    <mergeCell ref="AP34:AQ34"/>
    <mergeCell ref="BT21:CB21"/>
    <mergeCell ref="CC21:CE21"/>
    <mergeCell ref="E23:I23"/>
    <mergeCell ref="AP23:AQ23"/>
    <mergeCell ref="E24:I24"/>
    <mergeCell ref="AP24:AQ24"/>
    <mergeCell ref="AI22:AJ22"/>
    <mergeCell ref="AK22:AL22"/>
    <mergeCell ref="AM22:AN22"/>
    <mergeCell ref="B20:I22"/>
    <mergeCell ref="BS20:CF20"/>
    <mergeCell ref="J20:W20"/>
    <mergeCell ref="X20:Y22"/>
    <mergeCell ref="J21:J22"/>
    <mergeCell ref="K21:S21"/>
    <mergeCell ref="T21:V21"/>
    <mergeCell ref="W21:W22"/>
    <mergeCell ref="BP20:BR22"/>
    <mergeCell ref="BP23:BP29"/>
    <mergeCell ref="BP30:BP35"/>
    <mergeCell ref="O53:S53"/>
    <mergeCell ref="T53:U53"/>
    <mergeCell ref="B55:E55"/>
    <mergeCell ref="F55:V55"/>
    <mergeCell ref="B52:D53"/>
    <mergeCell ref="N52:N53"/>
    <mergeCell ref="O52:S52"/>
    <mergeCell ref="AP26:AQ26"/>
    <mergeCell ref="AP27:AQ27"/>
    <mergeCell ref="J52:K52"/>
    <mergeCell ref="T52:U52"/>
    <mergeCell ref="AP28:AQ28"/>
    <mergeCell ref="D29:W29"/>
    <mergeCell ref="E31:I31"/>
    <mergeCell ref="E32:I32"/>
    <mergeCell ref="E33:I33"/>
    <mergeCell ref="E34:I34"/>
    <mergeCell ref="D35:W35"/>
    <mergeCell ref="AP29:AQ29"/>
    <mergeCell ref="AP30:AQ30"/>
    <mergeCell ref="AP31:AQ31"/>
    <mergeCell ref="B43:E45"/>
    <mergeCell ref="B46:E47"/>
    <mergeCell ref="F40:G42"/>
    <mergeCell ref="N65:T65"/>
    <mergeCell ref="U65:AD65"/>
    <mergeCell ref="AI76:AK76"/>
    <mergeCell ref="AL76:AM76"/>
    <mergeCell ref="AI77:AK77"/>
    <mergeCell ref="AL77:AM77"/>
    <mergeCell ref="U61:V61"/>
    <mergeCell ref="Z61:AA61"/>
    <mergeCell ref="AB61:AC61"/>
    <mergeCell ref="M61:N61"/>
    <mergeCell ref="O61:P61"/>
    <mergeCell ref="S61:T61"/>
    <mergeCell ref="AI73:AK73"/>
    <mergeCell ref="AL73:AM73"/>
    <mergeCell ref="AI74:AK74"/>
    <mergeCell ref="AL74:AM74"/>
    <mergeCell ref="AI75:AK75"/>
    <mergeCell ref="AL75:AM75"/>
    <mergeCell ref="AI70:AK70"/>
    <mergeCell ref="AL70:AM70"/>
    <mergeCell ref="AI71:AK71"/>
    <mergeCell ref="AL71:AM71"/>
    <mergeCell ref="AI72:AK72"/>
    <mergeCell ref="AL72:AM72"/>
    <mergeCell ref="AI79:AK79"/>
    <mergeCell ref="AL79:AM79"/>
    <mergeCell ref="AV79:AW79"/>
    <mergeCell ref="AX79:AY79"/>
    <mergeCell ref="AZ79:BA79"/>
    <mergeCell ref="BB79:BC79"/>
    <mergeCell ref="AZ77:BA77"/>
    <mergeCell ref="BB77:BC77"/>
    <mergeCell ref="BD77:BE77"/>
    <mergeCell ref="AI78:AK78"/>
    <mergeCell ref="AL78:AM78"/>
    <mergeCell ref="AV78:AW78"/>
    <mergeCell ref="AX78:AY78"/>
    <mergeCell ref="AZ78:BA78"/>
    <mergeCell ref="BB78:BC78"/>
    <mergeCell ref="BD78:BE78"/>
    <mergeCell ref="AV77:AW77"/>
    <mergeCell ref="AX77:AY77"/>
    <mergeCell ref="N84:Z84"/>
    <mergeCell ref="AA84:AD84"/>
    <mergeCell ref="AV84:AW84"/>
    <mergeCell ref="AX84:AY84"/>
    <mergeCell ref="AZ84:BA84"/>
    <mergeCell ref="BB84:BC84"/>
    <mergeCell ref="BD84:BE84"/>
    <mergeCell ref="AV81:AW81"/>
    <mergeCell ref="AX81:AY81"/>
    <mergeCell ref="AZ81:BA81"/>
    <mergeCell ref="BB81:BC81"/>
    <mergeCell ref="BD81:BE81"/>
    <mergeCell ref="AV82:AW82"/>
    <mergeCell ref="AX82:AY82"/>
    <mergeCell ref="AZ82:BA82"/>
    <mergeCell ref="BB82:BC82"/>
    <mergeCell ref="BD82:BE82"/>
    <mergeCell ref="AA85:AD85"/>
    <mergeCell ref="AV85:AW85"/>
    <mergeCell ref="AV88:AW88"/>
    <mergeCell ref="AX85:AY85"/>
    <mergeCell ref="AZ85:BA85"/>
    <mergeCell ref="BB85:BC85"/>
    <mergeCell ref="BD85:BE85"/>
    <mergeCell ref="BD86:BE86"/>
    <mergeCell ref="E87:M87"/>
    <mergeCell ref="AA87:AD87"/>
    <mergeCell ref="AV87:AW87"/>
    <mergeCell ref="AX87:AY87"/>
    <mergeCell ref="AZ87:BA87"/>
    <mergeCell ref="BB87:BC87"/>
    <mergeCell ref="BD87:BE87"/>
    <mergeCell ref="E86:M86"/>
    <mergeCell ref="AA86:AD86"/>
    <mergeCell ref="AV86:AW86"/>
    <mergeCell ref="AX86:AY86"/>
    <mergeCell ref="AZ86:BA86"/>
    <mergeCell ref="BB86:BC86"/>
    <mergeCell ref="AX88:AY88"/>
    <mergeCell ref="AZ88:BA88"/>
    <mergeCell ref="BB88:BC88"/>
    <mergeCell ref="AA97:AD97"/>
    <mergeCell ref="E98:M98"/>
    <mergeCell ref="AA98:AD98"/>
    <mergeCell ref="E99:M99"/>
    <mergeCell ref="AA99:AD99"/>
    <mergeCell ref="E94:M94"/>
    <mergeCell ref="E30:I30"/>
    <mergeCell ref="AA94:AD94"/>
    <mergeCell ref="E95:M95"/>
    <mergeCell ref="AA95:AD95"/>
    <mergeCell ref="E96:M96"/>
    <mergeCell ref="AA96:AD96"/>
    <mergeCell ref="E91:M91"/>
    <mergeCell ref="AA91:AD91"/>
    <mergeCell ref="E92:M92"/>
    <mergeCell ref="AA92:AD92"/>
    <mergeCell ref="E93:M93"/>
    <mergeCell ref="AA93:AD93"/>
    <mergeCell ref="E88:M88"/>
    <mergeCell ref="AA88:AD88"/>
    <mergeCell ref="E89:M89"/>
    <mergeCell ref="AA89:AD89"/>
    <mergeCell ref="E90:M90"/>
    <mergeCell ref="AA90:AD90"/>
    <mergeCell ref="BI22:BJ22"/>
    <mergeCell ref="BK22:BL22"/>
    <mergeCell ref="BD88:BE88"/>
    <mergeCell ref="BG88:BH88"/>
    <mergeCell ref="AV83:AW83"/>
    <mergeCell ref="AX83:AY83"/>
    <mergeCell ref="AZ83:BA83"/>
    <mergeCell ref="BB83:BC83"/>
    <mergeCell ref="BD83:BE83"/>
    <mergeCell ref="BD79:BE79"/>
    <mergeCell ref="AV80:AW80"/>
    <mergeCell ref="AX80:AY80"/>
    <mergeCell ref="AZ80:BA80"/>
    <mergeCell ref="BB80:BC80"/>
    <mergeCell ref="BD80:BE80"/>
  </mergeCells>
  <phoneticPr fontId="4"/>
  <conditionalFormatting sqref="D28:I28">
    <cfRule type="expression" dxfId="42" priority="37">
      <formula>$AG$28="選択あり"</formula>
    </cfRule>
  </conditionalFormatting>
  <conditionalFormatting sqref="D34:I34">
    <cfRule type="expression" dxfId="41" priority="8">
      <formula>$AG$34="選択あり"</formula>
    </cfRule>
  </conditionalFormatting>
  <conditionalFormatting sqref="E101:M105">
    <cfRule type="expression" dxfId="40" priority="34">
      <formula>AH101&lt;&gt;"項目設定なし"</formula>
    </cfRule>
    <cfRule type="expression" dxfId="39" priority="44">
      <formula>AND($E101&lt;&gt;"（自由記述欄）",$E101&lt;&gt;"")</formula>
    </cfRule>
  </conditionalFormatting>
  <conditionalFormatting sqref="F8:L8 P8:U8 Y8:AD8 F10:L11 P10:U11 Y10:AD14 K23:V28 BT23:CE28 K30:V34">
    <cfRule type="expression" dxfId="38" priority="41">
      <formula>F8&lt;&gt;""</formula>
    </cfRule>
  </conditionalFormatting>
  <conditionalFormatting sqref="F55:V55">
    <cfRule type="expression" dxfId="37" priority="22">
      <formula>COUNTIF($F$55,"*記入例*")</formula>
    </cfRule>
    <cfRule type="expression" dxfId="36" priority="29">
      <formula>$F$55&lt;&gt;""</formula>
    </cfRule>
  </conditionalFormatting>
  <conditionalFormatting sqref="H4">
    <cfRule type="expression" dxfId="35" priority="43">
      <formula>$H$4&lt;&gt;""</formula>
    </cfRule>
  </conditionalFormatting>
  <conditionalFormatting sqref="H9:J9">
    <cfRule type="expression" dxfId="34" priority="14">
      <formula>H9&lt;&gt;""</formula>
    </cfRule>
  </conditionalFormatting>
  <conditionalFormatting sqref="H40:M42">
    <cfRule type="expression" dxfId="33" priority="3">
      <formula>$F$40=""</formula>
    </cfRule>
  </conditionalFormatting>
  <conditionalFormatting sqref="H43:M45">
    <cfRule type="expression" dxfId="32" priority="2">
      <formula>$F$43=""</formula>
    </cfRule>
  </conditionalFormatting>
  <conditionalFormatting sqref="H46:M47">
    <cfRule type="expression" dxfId="31" priority="1">
      <formula>$F$46=""</formula>
    </cfRule>
  </conditionalFormatting>
  <conditionalFormatting sqref="J4">
    <cfRule type="expression" dxfId="30" priority="42">
      <formula>$J$4&lt;&gt;""</formula>
    </cfRule>
  </conditionalFormatting>
  <conditionalFormatting sqref="M40:M47 F40:G47">
    <cfRule type="expression" dxfId="29" priority="4">
      <formula>F40&lt;&gt;""</formula>
    </cfRule>
  </conditionalFormatting>
  <conditionalFormatting sqref="M61:N61">
    <cfRule type="expression" dxfId="28" priority="35">
      <formula>$M$61&lt;&gt;""</formula>
    </cfRule>
  </conditionalFormatting>
  <conditionalFormatting sqref="O85:O105">
    <cfRule type="expression" dxfId="27" priority="28">
      <formula>$AG85=1</formula>
    </cfRule>
  </conditionalFormatting>
  <conditionalFormatting sqref="P12">
    <cfRule type="expression" dxfId="26" priority="39">
      <formula>P12&lt;&gt;""</formula>
    </cfRule>
  </conditionalFormatting>
  <conditionalFormatting sqref="P9:Q9">
    <cfRule type="expression" dxfId="25" priority="13">
      <formula>$AG$9=1</formula>
    </cfRule>
  </conditionalFormatting>
  <conditionalFormatting sqref="R85:R105">
    <cfRule type="expression" dxfId="24" priority="27">
      <formula>$AG85=2</formula>
    </cfRule>
  </conditionalFormatting>
  <conditionalFormatting sqref="R9:S9">
    <cfRule type="expression" dxfId="23" priority="12">
      <formula>$AG$9=2</formula>
    </cfRule>
  </conditionalFormatting>
  <conditionalFormatting sqref="T52:T53">
    <cfRule type="expression" dxfId="22" priority="30">
      <formula>#REF!&lt;&gt;""</formula>
    </cfRule>
  </conditionalFormatting>
  <conditionalFormatting sqref="T53:V53">
    <cfRule type="expression" dxfId="21" priority="20">
      <formula>$T$52&lt;0</formula>
    </cfRule>
  </conditionalFormatting>
  <conditionalFormatting sqref="U85:U105">
    <cfRule type="expression" dxfId="20" priority="26">
      <formula>$AG85=3</formula>
    </cfRule>
  </conditionalFormatting>
  <conditionalFormatting sqref="V52">
    <cfRule type="expression" dxfId="19" priority="21">
      <formula>$T$52&lt;0</formula>
    </cfRule>
  </conditionalFormatting>
  <conditionalFormatting sqref="X85:X105">
    <cfRule type="expression" dxfId="18" priority="25">
      <formula>$AG85=4</formula>
    </cfRule>
  </conditionalFormatting>
  <conditionalFormatting sqref="X28:Y28">
    <cfRule type="expression" dxfId="17" priority="6">
      <formula>$AO$28=""</formula>
    </cfRule>
  </conditionalFormatting>
  <conditionalFormatting sqref="X34:Y34">
    <cfRule type="expression" dxfId="16" priority="5">
      <formula>$AO$34=""</formula>
    </cfRule>
  </conditionalFormatting>
  <conditionalFormatting sqref="Y9:Z9">
    <cfRule type="expression" dxfId="15" priority="11">
      <formula>$AH$9=1</formula>
    </cfRule>
  </conditionalFormatting>
  <conditionalFormatting sqref="AA9:AB9">
    <cfRule type="expression" dxfId="14" priority="10">
      <formula>$AH$9=2</formula>
    </cfRule>
  </conditionalFormatting>
  <conditionalFormatting sqref="AC9:AD9">
    <cfRule type="expression" dxfId="13" priority="9">
      <formula>$AH$9=3</formula>
    </cfRule>
  </conditionalFormatting>
  <conditionalFormatting sqref="BT30:CE34">
    <cfRule type="expression" dxfId="12" priority="7">
      <formula>BT30&lt;&gt;""</formula>
    </cfRule>
  </conditionalFormatting>
  <dataValidations count="7">
    <dataValidation type="whole" errorStyle="warning" imeMode="halfAlpha" allowBlank="1" showInputMessage="1" showErrorMessage="1" error="入力値に誤りがあります。" sqref="J4" xr:uid="{10862121-8516-4A4E-A4A8-26AAE0686CE8}">
      <formula1>1</formula1>
      <formula2>IF(OR(H4=2,H4=4,H4=6,H4=9,H4=11),30,31)</formula2>
    </dataValidation>
    <dataValidation type="whole" errorStyle="warning" imeMode="halfAlpha" allowBlank="1" showInputMessage="1" showErrorMessage="1" error="4～8の数値（整数）を入力してください。" sqref="H4" xr:uid="{B88031D2-A430-493C-B04B-DE7BAA091710}">
      <formula1>4</formula1>
      <formula2>8</formula2>
    </dataValidation>
    <dataValidation type="custom" errorStyle="warning" imeMode="halfAlpha" allowBlank="1" showInputMessage="1" showErrorMessage="1" error="0~100の数値を入力してください。" promptTitle="――――――― 削減目標を自由にご設定ください ―――――――" prompt="_x000a_〈目標設定のヒント〉_x000a_　省エネ法では、事業者に対してエネルギー使用量を年間1％削減することを努力目標としています。これを排出量に置き換えて、年間1％の削減目標を設定するといった考え方もできますので参考にしてください。" sqref="M61:N61" xr:uid="{99C69D05-CE32-48ED-AAE2-FA9A312712D2}">
      <formula1>AND(M61&lt;=100,M61&gt;=0)</formula1>
    </dataValidation>
    <dataValidation imeMode="halfAlpha" allowBlank="1" showInputMessage="1" showErrorMessage="1" sqref="H9 J9 Q10 S10 Z10 AB10 Y13:AD14" xr:uid="{80ACB268-2E0A-4D92-855F-F7404799B6C3}"/>
    <dataValidation type="decimal" imeMode="halfAlpha" allowBlank="1" showInputMessage="1" showErrorMessage="1" sqref="BT23:CE28 K23:V28 BT30:CE34" xr:uid="{CD420CC8-227D-4556-B921-99C338051767}">
      <formula1>0</formula1>
      <formula2>999999999</formula2>
    </dataValidation>
    <dataValidation imeMode="hiragana" allowBlank="1" showInputMessage="1" showErrorMessage="1" sqref="F55:V55 Y11:AD12 F8:L8 F10:L11 P8:U8 P11:U11 Y8:AD8 E101:M105" xr:uid="{1C229882-C8FC-42B3-AAD7-A5FE8181E284}"/>
    <dataValidation type="list" allowBlank="1" showInputMessage="1" showErrorMessage="1" sqref="C67:H67" xr:uid="{F064CEFA-6133-4118-A8D9-806D79DDE235}">
      <formula1>$AU$23:$AU$34</formula1>
    </dataValidation>
  </dataValidations>
  <pageMargins left="0.23622047244094491" right="0.23622047244094491" top="0.74803149606299213" bottom="0.74803149606299213" header="0.31496062992125984" footer="0.31496062992125984"/>
  <pageSetup paperSize="9" scale="39" fitToHeight="0" orientation="portrait" r:id="rId1"/>
  <headerFooter>
    <oddHeader>&amp;L&amp;"メイリオ,レギュラー"&amp;16様式第１号兼様式第２号</oddHeader>
  </headerFooter>
  <rowBreaks count="1" manualBreakCount="1">
    <brk id="81" max="30" man="1"/>
  </rowBreaks>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7" r:id="rId4" name="Option Button 3">
              <controlPr defaultSize="0" autoFill="0" autoLine="0" autoPict="0">
                <anchor moveWithCells="1">
                  <from>
                    <xdr:col>13</xdr:col>
                    <xdr:colOff>371475</xdr:colOff>
                    <xdr:row>84</xdr:row>
                    <xdr:rowOff>66675</xdr:rowOff>
                  </from>
                  <to>
                    <xdr:col>15</xdr:col>
                    <xdr:colOff>295275</xdr:colOff>
                    <xdr:row>84</xdr:row>
                    <xdr:rowOff>295275</xdr:rowOff>
                  </to>
                </anchor>
              </controlPr>
            </control>
          </mc:Choice>
        </mc:AlternateContent>
        <mc:AlternateContent xmlns:mc="http://schemas.openxmlformats.org/markup-compatibility/2006">
          <mc:Choice Requires="x14">
            <control shapeId="31748" r:id="rId5" name="Option Button 4">
              <controlPr defaultSize="0" autoFill="0" autoLine="0" autoPict="0">
                <anchor moveWithCells="1">
                  <from>
                    <xdr:col>16</xdr:col>
                    <xdr:colOff>371475</xdr:colOff>
                    <xdr:row>84</xdr:row>
                    <xdr:rowOff>66675</xdr:rowOff>
                  </from>
                  <to>
                    <xdr:col>18</xdr:col>
                    <xdr:colOff>571500</xdr:colOff>
                    <xdr:row>84</xdr:row>
                    <xdr:rowOff>295275</xdr:rowOff>
                  </to>
                </anchor>
              </controlPr>
            </control>
          </mc:Choice>
        </mc:AlternateContent>
        <mc:AlternateContent xmlns:mc="http://schemas.openxmlformats.org/markup-compatibility/2006">
          <mc:Choice Requires="x14">
            <control shapeId="31749" r:id="rId6" name="Option Button 5">
              <controlPr defaultSize="0" autoFill="0" autoLine="0" autoPict="0">
                <anchor moveWithCells="1">
                  <from>
                    <xdr:col>19</xdr:col>
                    <xdr:colOff>381000</xdr:colOff>
                    <xdr:row>84</xdr:row>
                    <xdr:rowOff>66675</xdr:rowOff>
                  </from>
                  <to>
                    <xdr:col>21</xdr:col>
                    <xdr:colOff>419100</xdr:colOff>
                    <xdr:row>84</xdr:row>
                    <xdr:rowOff>295275</xdr:rowOff>
                  </to>
                </anchor>
              </controlPr>
            </control>
          </mc:Choice>
        </mc:AlternateContent>
        <mc:AlternateContent xmlns:mc="http://schemas.openxmlformats.org/markup-compatibility/2006">
          <mc:Choice Requires="x14">
            <control shapeId="31750" r:id="rId7" name="Option Button 6">
              <controlPr defaultSize="0" autoFill="0" autoLine="0" autoPict="0">
                <anchor moveWithCells="1">
                  <from>
                    <xdr:col>13</xdr:col>
                    <xdr:colOff>371475</xdr:colOff>
                    <xdr:row>85</xdr:row>
                    <xdr:rowOff>66675</xdr:rowOff>
                  </from>
                  <to>
                    <xdr:col>15</xdr:col>
                    <xdr:colOff>361950</xdr:colOff>
                    <xdr:row>85</xdr:row>
                    <xdr:rowOff>285750</xdr:rowOff>
                  </to>
                </anchor>
              </controlPr>
            </control>
          </mc:Choice>
        </mc:AlternateContent>
        <mc:AlternateContent xmlns:mc="http://schemas.openxmlformats.org/markup-compatibility/2006">
          <mc:Choice Requires="x14">
            <control shapeId="31751" r:id="rId8" name="Option Button 7">
              <controlPr defaultSize="0" autoFill="0" autoLine="0" autoPict="0">
                <anchor moveWithCells="1">
                  <from>
                    <xdr:col>13</xdr:col>
                    <xdr:colOff>371475</xdr:colOff>
                    <xdr:row>86</xdr:row>
                    <xdr:rowOff>66675</xdr:rowOff>
                  </from>
                  <to>
                    <xdr:col>16</xdr:col>
                    <xdr:colOff>285750</xdr:colOff>
                    <xdr:row>86</xdr:row>
                    <xdr:rowOff>285750</xdr:rowOff>
                  </to>
                </anchor>
              </controlPr>
            </control>
          </mc:Choice>
        </mc:AlternateContent>
        <mc:AlternateContent xmlns:mc="http://schemas.openxmlformats.org/markup-compatibility/2006">
          <mc:Choice Requires="x14">
            <control shapeId="31752" r:id="rId9" name="Option Button 8">
              <controlPr defaultSize="0" autoFill="0" autoLine="0" autoPict="0">
                <anchor moveWithCells="1">
                  <from>
                    <xdr:col>13</xdr:col>
                    <xdr:colOff>371475</xdr:colOff>
                    <xdr:row>87</xdr:row>
                    <xdr:rowOff>66675</xdr:rowOff>
                  </from>
                  <to>
                    <xdr:col>15</xdr:col>
                    <xdr:colOff>333375</xdr:colOff>
                    <xdr:row>87</xdr:row>
                    <xdr:rowOff>285750</xdr:rowOff>
                  </to>
                </anchor>
              </controlPr>
            </control>
          </mc:Choice>
        </mc:AlternateContent>
        <mc:AlternateContent xmlns:mc="http://schemas.openxmlformats.org/markup-compatibility/2006">
          <mc:Choice Requires="x14">
            <control shapeId="31753" r:id="rId10" name="Option Button 9">
              <controlPr defaultSize="0" autoFill="0" autoLine="0" autoPict="0">
                <anchor moveWithCells="1">
                  <from>
                    <xdr:col>13</xdr:col>
                    <xdr:colOff>371475</xdr:colOff>
                    <xdr:row>88</xdr:row>
                    <xdr:rowOff>66675</xdr:rowOff>
                  </from>
                  <to>
                    <xdr:col>15</xdr:col>
                    <xdr:colOff>285750</xdr:colOff>
                    <xdr:row>88</xdr:row>
                    <xdr:rowOff>314325</xdr:rowOff>
                  </to>
                </anchor>
              </controlPr>
            </control>
          </mc:Choice>
        </mc:AlternateContent>
        <mc:AlternateContent xmlns:mc="http://schemas.openxmlformats.org/markup-compatibility/2006">
          <mc:Choice Requires="x14">
            <control shapeId="31754" r:id="rId11" name="Option Button 10">
              <controlPr defaultSize="0" autoFill="0" autoLine="0" autoPict="0">
                <anchor moveWithCells="1">
                  <from>
                    <xdr:col>13</xdr:col>
                    <xdr:colOff>371475</xdr:colOff>
                    <xdr:row>89</xdr:row>
                    <xdr:rowOff>66675</xdr:rowOff>
                  </from>
                  <to>
                    <xdr:col>15</xdr:col>
                    <xdr:colOff>333375</xdr:colOff>
                    <xdr:row>89</xdr:row>
                    <xdr:rowOff>285750</xdr:rowOff>
                  </to>
                </anchor>
              </controlPr>
            </control>
          </mc:Choice>
        </mc:AlternateContent>
        <mc:AlternateContent xmlns:mc="http://schemas.openxmlformats.org/markup-compatibility/2006">
          <mc:Choice Requires="x14">
            <control shapeId="31755" r:id="rId12" name="Option Button 11">
              <controlPr defaultSize="0" autoFill="0" autoLine="0" autoPict="0">
                <anchor moveWithCells="1">
                  <from>
                    <xdr:col>13</xdr:col>
                    <xdr:colOff>371475</xdr:colOff>
                    <xdr:row>90</xdr:row>
                    <xdr:rowOff>66675</xdr:rowOff>
                  </from>
                  <to>
                    <xdr:col>15</xdr:col>
                    <xdr:colOff>361950</xdr:colOff>
                    <xdr:row>90</xdr:row>
                    <xdr:rowOff>314325</xdr:rowOff>
                  </to>
                </anchor>
              </controlPr>
            </control>
          </mc:Choice>
        </mc:AlternateContent>
        <mc:AlternateContent xmlns:mc="http://schemas.openxmlformats.org/markup-compatibility/2006">
          <mc:Choice Requires="x14">
            <control shapeId="31756" r:id="rId13" name="Option Button 12">
              <controlPr defaultSize="0" autoFill="0" autoLine="0" autoPict="0">
                <anchor moveWithCells="1">
                  <from>
                    <xdr:col>13</xdr:col>
                    <xdr:colOff>371475</xdr:colOff>
                    <xdr:row>91</xdr:row>
                    <xdr:rowOff>66675</xdr:rowOff>
                  </from>
                  <to>
                    <xdr:col>15</xdr:col>
                    <xdr:colOff>361950</xdr:colOff>
                    <xdr:row>91</xdr:row>
                    <xdr:rowOff>285750</xdr:rowOff>
                  </to>
                </anchor>
              </controlPr>
            </control>
          </mc:Choice>
        </mc:AlternateContent>
        <mc:AlternateContent xmlns:mc="http://schemas.openxmlformats.org/markup-compatibility/2006">
          <mc:Choice Requires="x14">
            <control shapeId="31757" r:id="rId14" name="Option Button 13">
              <controlPr defaultSize="0" autoFill="0" autoLine="0" autoPict="0">
                <anchor moveWithCells="1">
                  <from>
                    <xdr:col>13</xdr:col>
                    <xdr:colOff>371475</xdr:colOff>
                    <xdr:row>92</xdr:row>
                    <xdr:rowOff>66675</xdr:rowOff>
                  </from>
                  <to>
                    <xdr:col>15</xdr:col>
                    <xdr:colOff>314325</xdr:colOff>
                    <xdr:row>92</xdr:row>
                    <xdr:rowOff>285750</xdr:rowOff>
                  </to>
                </anchor>
              </controlPr>
            </control>
          </mc:Choice>
        </mc:AlternateContent>
        <mc:AlternateContent xmlns:mc="http://schemas.openxmlformats.org/markup-compatibility/2006">
          <mc:Choice Requires="x14">
            <control shapeId="31758" r:id="rId15" name="Option Button 14">
              <controlPr defaultSize="0" autoFill="0" autoLine="0" autoPict="0">
                <anchor moveWithCells="1">
                  <from>
                    <xdr:col>13</xdr:col>
                    <xdr:colOff>371475</xdr:colOff>
                    <xdr:row>93</xdr:row>
                    <xdr:rowOff>66675</xdr:rowOff>
                  </from>
                  <to>
                    <xdr:col>15</xdr:col>
                    <xdr:colOff>333375</xdr:colOff>
                    <xdr:row>93</xdr:row>
                    <xdr:rowOff>285750</xdr:rowOff>
                  </to>
                </anchor>
              </controlPr>
            </control>
          </mc:Choice>
        </mc:AlternateContent>
        <mc:AlternateContent xmlns:mc="http://schemas.openxmlformats.org/markup-compatibility/2006">
          <mc:Choice Requires="x14">
            <control shapeId="31759" r:id="rId16" name="Option Button 15">
              <controlPr defaultSize="0" autoFill="0" autoLine="0" autoPict="0">
                <anchor moveWithCells="1">
                  <from>
                    <xdr:col>13</xdr:col>
                    <xdr:colOff>371475</xdr:colOff>
                    <xdr:row>94</xdr:row>
                    <xdr:rowOff>66675</xdr:rowOff>
                  </from>
                  <to>
                    <xdr:col>15</xdr:col>
                    <xdr:colOff>314325</xdr:colOff>
                    <xdr:row>94</xdr:row>
                    <xdr:rowOff>285750</xdr:rowOff>
                  </to>
                </anchor>
              </controlPr>
            </control>
          </mc:Choice>
        </mc:AlternateContent>
        <mc:AlternateContent xmlns:mc="http://schemas.openxmlformats.org/markup-compatibility/2006">
          <mc:Choice Requires="x14">
            <control shapeId="31760" r:id="rId17" name="Option Button 16">
              <controlPr defaultSize="0" autoFill="0" autoLine="0" autoPict="0">
                <anchor moveWithCells="1">
                  <from>
                    <xdr:col>13</xdr:col>
                    <xdr:colOff>371475</xdr:colOff>
                    <xdr:row>95</xdr:row>
                    <xdr:rowOff>66675</xdr:rowOff>
                  </from>
                  <to>
                    <xdr:col>15</xdr:col>
                    <xdr:colOff>314325</xdr:colOff>
                    <xdr:row>95</xdr:row>
                    <xdr:rowOff>285750</xdr:rowOff>
                  </to>
                </anchor>
              </controlPr>
            </control>
          </mc:Choice>
        </mc:AlternateContent>
        <mc:AlternateContent xmlns:mc="http://schemas.openxmlformats.org/markup-compatibility/2006">
          <mc:Choice Requires="x14">
            <control shapeId="31761" r:id="rId18" name="Option Button 17">
              <controlPr defaultSize="0" autoFill="0" autoLine="0" autoPict="0">
                <anchor moveWithCells="1">
                  <from>
                    <xdr:col>13</xdr:col>
                    <xdr:colOff>371475</xdr:colOff>
                    <xdr:row>96</xdr:row>
                    <xdr:rowOff>66675</xdr:rowOff>
                  </from>
                  <to>
                    <xdr:col>15</xdr:col>
                    <xdr:colOff>333375</xdr:colOff>
                    <xdr:row>96</xdr:row>
                    <xdr:rowOff>285750</xdr:rowOff>
                  </to>
                </anchor>
              </controlPr>
            </control>
          </mc:Choice>
        </mc:AlternateContent>
        <mc:AlternateContent xmlns:mc="http://schemas.openxmlformats.org/markup-compatibility/2006">
          <mc:Choice Requires="x14">
            <control shapeId="31762" r:id="rId19" name="Option Button 18">
              <controlPr defaultSize="0" autoFill="0" autoLine="0" autoPict="0">
                <anchor moveWithCells="1">
                  <from>
                    <xdr:col>13</xdr:col>
                    <xdr:colOff>371475</xdr:colOff>
                    <xdr:row>97</xdr:row>
                    <xdr:rowOff>66675</xdr:rowOff>
                  </from>
                  <to>
                    <xdr:col>15</xdr:col>
                    <xdr:colOff>285750</xdr:colOff>
                    <xdr:row>97</xdr:row>
                    <xdr:rowOff>285750</xdr:rowOff>
                  </to>
                </anchor>
              </controlPr>
            </control>
          </mc:Choice>
        </mc:AlternateContent>
        <mc:AlternateContent xmlns:mc="http://schemas.openxmlformats.org/markup-compatibility/2006">
          <mc:Choice Requires="x14">
            <control shapeId="31763" r:id="rId20" name="Option Button 19">
              <controlPr defaultSize="0" autoFill="0" autoLine="0" autoPict="0">
                <anchor moveWithCells="1">
                  <from>
                    <xdr:col>13</xdr:col>
                    <xdr:colOff>371475</xdr:colOff>
                    <xdr:row>98</xdr:row>
                    <xdr:rowOff>66675</xdr:rowOff>
                  </from>
                  <to>
                    <xdr:col>16</xdr:col>
                    <xdr:colOff>285750</xdr:colOff>
                    <xdr:row>98</xdr:row>
                    <xdr:rowOff>285750</xdr:rowOff>
                  </to>
                </anchor>
              </controlPr>
            </control>
          </mc:Choice>
        </mc:AlternateContent>
        <mc:AlternateContent xmlns:mc="http://schemas.openxmlformats.org/markup-compatibility/2006">
          <mc:Choice Requires="x14">
            <control shapeId="31766" r:id="rId21" name="Option Button 22">
              <controlPr defaultSize="0" autoFill="0" autoLine="0" autoPict="0">
                <anchor moveWithCells="1">
                  <from>
                    <xdr:col>13</xdr:col>
                    <xdr:colOff>371475</xdr:colOff>
                    <xdr:row>100</xdr:row>
                    <xdr:rowOff>66675</xdr:rowOff>
                  </from>
                  <to>
                    <xdr:col>15</xdr:col>
                    <xdr:colOff>361950</xdr:colOff>
                    <xdr:row>100</xdr:row>
                    <xdr:rowOff>285750</xdr:rowOff>
                  </to>
                </anchor>
              </controlPr>
            </control>
          </mc:Choice>
        </mc:AlternateContent>
        <mc:AlternateContent xmlns:mc="http://schemas.openxmlformats.org/markup-compatibility/2006">
          <mc:Choice Requires="x14">
            <control shapeId="31767" r:id="rId22" name="Option Button 23">
              <controlPr defaultSize="0" autoFill="0" autoLine="0" autoPict="0">
                <anchor moveWithCells="1">
                  <from>
                    <xdr:col>13</xdr:col>
                    <xdr:colOff>371475</xdr:colOff>
                    <xdr:row>101</xdr:row>
                    <xdr:rowOff>66675</xdr:rowOff>
                  </from>
                  <to>
                    <xdr:col>15</xdr:col>
                    <xdr:colOff>333375</xdr:colOff>
                    <xdr:row>101</xdr:row>
                    <xdr:rowOff>285750</xdr:rowOff>
                  </to>
                </anchor>
              </controlPr>
            </control>
          </mc:Choice>
        </mc:AlternateContent>
        <mc:AlternateContent xmlns:mc="http://schemas.openxmlformats.org/markup-compatibility/2006">
          <mc:Choice Requires="x14">
            <control shapeId="31768" r:id="rId23" name="Option Button 24">
              <controlPr defaultSize="0" autoFill="0" autoLine="0" autoPict="0">
                <anchor moveWithCells="1">
                  <from>
                    <xdr:col>13</xdr:col>
                    <xdr:colOff>371475</xdr:colOff>
                    <xdr:row>102</xdr:row>
                    <xdr:rowOff>66675</xdr:rowOff>
                  </from>
                  <to>
                    <xdr:col>15</xdr:col>
                    <xdr:colOff>333375</xdr:colOff>
                    <xdr:row>102</xdr:row>
                    <xdr:rowOff>285750</xdr:rowOff>
                  </to>
                </anchor>
              </controlPr>
            </control>
          </mc:Choice>
        </mc:AlternateContent>
        <mc:AlternateContent xmlns:mc="http://schemas.openxmlformats.org/markup-compatibility/2006">
          <mc:Choice Requires="x14">
            <control shapeId="31769" r:id="rId24" name="Option Button 25">
              <controlPr defaultSize="0" autoFill="0" autoLine="0" autoPict="0">
                <anchor moveWithCells="1">
                  <from>
                    <xdr:col>13</xdr:col>
                    <xdr:colOff>371475</xdr:colOff>
                    <xdr:row>103</xdr:row>
                    <xdr:rowOff>66675</xdr:rowOff>
                  </from>
                  <to>
                    <xdr:col>15</xdr:col>
                    <xdr:colOff>285750</xdr:colOff>
                    <xdr:row>103</xdr:row>
                    <xdr:rowOff>285750</xdr:rowOff>
                  </to>
                </anchor>
              </controlPr>
            </control>
          </mc:Choice>
        </mc:AlternateContent>
        <mc:AlternateContent xmlns:mc="http://schemas.openxmlformats.org/markup-compatibility/2006">
          <mc:Choice Requires="x14">
            <control shapeId="31770" r:id="rId25" name="Option Button 26">
              <controlPr defaultSize="0" autoFill="0" autoLine="0" autoPict="0">
                <anchor moveWithCells="1">
                  <from>
                    <xdr:col>13</xdr:col>
                    <xdr:colOff>371475</xdr:colOff>
                    <xdr:row>104</xdr:row>
                    <xdr:rowOff>66675</xdr:rowOff>
                  </from>
                  <to>
                    <xdr:col>15</xdr:col>
                    <xdr:colOff>314325</xdr:colOff>
                    <xdr:row>104</xdr:row>
                    <xdr:rowOff>285750</xdr:rowOff>
                  </to>
                </anchor>
              </controlPr>
            </control>
          </mc:Choice>
        </mc:AlternateContent>
        <mc:AlternateContent xmlns:mc="http://schemas.openxmlformats.org/markup-compatibility/2006">
          <mc:Choice Requires="x14">
            <control shapeId="31771" r:id="rId26" name="Option Button 27">
              <controlPr defaultSize="0" autoFill="0" autoLine="0" autoPict="0">
                <anchor moveWithCells="1">
                  <from>
                    <xdr:col>16</xdr:col>
                    <xdr:colOff>371475</xdr:colOff>
                    <xdr:row>85</xdr:row>
                    <xdr:rowOff>66675</xdr:rowOff>
                  </from>
                  <to>
                    <xdr:col>19</xdr:col>
                    <xdr:colOff>28575</xdr:colOff>
                    <xdr:row>85</xdr:row>
                    <xdr:rowOff>285750</xdr:rowOff>
                  </to>
                </anchor>
              </controlPr>
            </control>
          </mc:Choice>
        </mc:AlternateContent>
        <mc:AlternateContent xmlns:mc="http://schemas.openxmlformats.org/markup-compatibility/2006">
          <mc:Choice Requires="x14">
            <control shapeId="31772" r:id="rId27" name="Option Button 28">
              <controlPr defaultSize="0" autoFill="0" autoLine="0" autoPict="0">
                <anchor moveWithCells="1">
                  <from>
                    <xdr:col>16</xdr:col>
                    <xdr:colOff>371475</xdr:colOff>
                    <xdr:row>86</xdr:row>
                    <xdr:rowOff>66675</xdr:rowOff>
                  </from>
                  <to>
                    <xdr:col>18</xdr:col>
                    <xdr:colOff>571500</xdr:colOff>
                    <xdr:row>86</xdr:row>
                    <xdr:rowOff>285750</xdr:rowOff>
                  </to>
                </anchor>
              </controlPr>
            </control>
          </mc:Choice>
        </mc:AlternateContent>
        <mc:AlternateContent xmlns:mc="http://schemas.openxmlformats.org/markup-compatibility/2006">
          <mc:Choice Requires="x14">
            <control shapeId="31773" r:id="rId28" name="Option Button 29">
              <controlPr defaultSize="0" autoFill="0" autoLine="0" autoPict="0">
                <anchor moveWithCells="1">
                  <from>
                    <xdr:col>16</xdr:col>
                    <xdr:colOff>371475</xdr:colOff>
                    <xdr:row>87</xdr:row>
                    <xdr:rowOff>66675</xdr:rowOff>
                  </from>
                  <to>
                    <xdr:col>18</xdr:col>
                    <xdr:colOff>600075</xdr:colOff>
                    <xdr:row>87</xdr:row>
                    <xdr:rowOff>285750</xdr:rowOff>
                  </to>
                </anchor>
              </controlPr>
            </control>
          </mc:Choice>
        </mc:AlternateContent>
        <mc:AlternateContent xmlns:mc="http://schemas.openxmlformats.org/markup-compatibility/2006">
          <mc:Choice Requires="x14">
            <control shapeId="31774" r:id="rId29" name="Option Button 30">
              <controlPr defaultSize="0" autoFill="0" autoLine="0" autoPict="0">
                <anchor moveWithCells="1">
                  <from>
                    <xdr:col>16</xdr:col>
                    <xdr:colOff>371475</xdr:colOff>
                    <xdr:row>88</xdr:row>
                    <xdr:rowOff>66675</xdr:rowOff>
                  </from>
                  <to>
                    <xdr:col>18</xdr:col>
                    <xdr:colOff>571500</xdr:colOff>
                    <xdr:row>88</xdr:row>
                    <xdr:rowOff>314325</xdr:rowOff>
                  </to>
                </anchor>
              </controlPr>
            </control>
          </mc:Choice>
        </mc:AlternateContent>
        <mc:AlternateContent xmlns:mc="http://schemas.openxmlformats.org/markup-compatibility/2006">
          <mc:Choice Requires="x14">
            <control shapeId="31775" r:id="rId30" name="Option Button 31">
              <controlPr defaultSize="0" autoFill="0" autoLine="0" autoPict="0">
                <anchor moveWithCells="1">
                  <from>
                    <xdr:col>16</xdr:col>
                    <xdr:colOff>371475</xdr:colOff>
                    <xdr:row>89</xdr:row>
                    <xdr:rowOff>66675</xdr:rowOff>
                  </from>
                  <to>
                    <xdr:col>18</xdr:col>
                    <xdr:colOff>571500</xdr:colOff>
                    <xdr:row>89</xdr:row>
                    <xdr:rowOff>285750</xdr:rowOff>
                  </to>
                </anchor>
              </controlPr>
            </control>
          </mc:Choice>
        </mc:AlternateContent>
        <mc:AlternateContent xmlns:mc="http://schemas.openxmlformats.org/markup-compatibility/2006">
          <mc:Choice Requires="x14">
            <control shapeId="31776" r:id="rId31" name="Option Button 32">
              <controlPr defaultSize="0" autoFill="0" autoLine="0" autoPict="0">
                <anchor moveWithCells="1">
                  <from>
                    <xdr:col>16</xdr:col>
                    <xdr:colOff>371475</xdr:colOff>
                    <xdr:row>90</xdr:row>
                    <xdr:rowOff>66675</xdr:rowOff>
                  </from>
                  <to>
                    <xdr:col>18</xdr:col>
                    <xdr:colOff>571500</xdr:colOff>
                    <xdr:row>90</xdr:row>
                    <xdr:rowOff>314325</xdr:rowOff>
                  </to>
                </anchor>
              </controlPr>
            </control>
          </mc:Choice>
        </mc:AlternateContent>
        <mc:AlternateContent xmlns:mc="http://schemas.openxmlformats.org/markup-compatibility/2006">
          <mc:Choice Requires="x14">
            <control shapeId="31777" r:id="rId32" name="Option Button 33">
              <controlPr defaultSize="0" autoFill="0" autoLine="0" autoPict="0">
                <anchor moveWithCells="1">
                  <from>
                    <xdr:col>16</xdr:col>
                    <xdr:colOff>371475</xdr:colOff>
                    <xdr:row>91</xdr:row>
                    <xdr:rowOff>66675</xdr:rowOff>
                  </from>
                  <to>
                    <xdr:col>18</xdr:col>
                    <xdr:colOff>571500</xdr:colOff>
                    <xdr:row>91</xdr:row>
                    <xdr:rowOff>285750</xdr:rowOff>
                  </to>
                </anchor>
              </controlPr>
            </control>
          </mc:Choice>
        </mc:AlternateContent>
        <mc:AlternateContent xmlns:mc="http://schemas.openxmlformats.org/markup-compatibility/2006">
          <mc:Choice Requires="x14">
            <control shapeId="31778" r:id="rId33" name="Option Button 34">
              <controlPr defaultSize="0" autoFill="0" autoLine="0" autoPict="0">
                <anchor moveWithCells="1">
                  <from>
                    <xdr:col>16</xdr:col>
                    <xdr:colOff>371475</xdr:colOff>
                    <xdr:row>92</xdr:row>
                    <xdr:rowOff>66675</xdr:rowOff>
                  </from>
                  <to>
                    <xdr:col>18</xdr:col>
                    <xdr:colOff>571500</xdr:colOff>
                    <xdr:row>92</xdr:row>
                    <xdr:rowOff>285750</xdr:rowOff>
                  </to>
                </anchor>
              </controlPr>
            </control>
          </mc:Choice>
        </mc:AlternateContent>
        <mc:AlternateContent xmlns:mc="http://schemas.openxmlformats.org/markup-compatibility/2006">
          <mc:Choice Requires="x14">
            <control shapeId="31779" r:id="rId34" name="Option Button 35">
              <controlPr defaultSize="0" autoFill="0" autoLine="0" autoPict="0">
                <anchor moveWithCells="1">
                  <from>
                    <xdr:col>16</xdr:col>
                    <xdr:colOff>371475</xdr:colOff>
                    <xdr:row>93</xdr:row>
                    <xdr:rowOff>66675</xdr:rowOff>
                  </from>
                  <to>
                    <xdr:col>18</xdr:col>
                    <xdr:colOff>571500</xdr:colOff>
                    <xdr:row>93</xdr:row>
                    <xdr:rowOff>285750</xdr:rowOff>
                  </to>
                </anchor>
              </controlPr>
            </control>
          </mc:Choice>
        </mc:AlternateContent>
        <mc:AlternateContent xmlns:mc="http://schemas.openxmlformats.org/markup-compatibility/2006">
          <mc:Choice Requires="x14">
            <control shapeId="31780" r:id="rId35" name="Option Button 36">
              <controlPr defaultSize="0" autoFill="0" autoLine="0" autoPict="0">
                <anchor moveWithCells="1">
                  <from>
                    <xdr:col>16</xdr:col>
                    <xdr:colOff>371475</xdr:colOff>
                    <xdr:row>94</xdr:row>
                    <xdr:rowOff>66675</xdr:rowOff>
                  </from>
                  <to>
                    <xdr:col>18</xdr:col>
                    <xdr:colOff>619125</xdr:colOff>
                    <xdr:row>94</xdr:row>
                    <xdr:rowOff>285750</xdr:rowOff>
                  </to>
                </anchor>
              </controlPr>
            </control>
          </mc:Choice>
        </mc:AlternateContent>
        <mc:AlternateContent xmlns:mc="http://schemas.openxmlformats.org/markup-compatibility/2006">
          <mc:Choice Requires="x14">
            <control shapeId="31781" r:id="rId36" name="Option Button 37">
              <controlPr defaultSize="0" autoFill="0" autoLine="0" autoPict="0">
                <anchor moveWithCells="1">
                  <from>
                    <xdr:col>16</xdr:col>
                    <xdr:colOff>371475</xdr:colOff>
                    <xdr:row>95</xdr:row>
                    <xdr:rowOff>66675</xdr:rowOff>
                  </from>
                  <to>
                    <xdr:col>18</xdr:col>
                    <xdr:colOff>571500</xdr:colOff>
                    <xdr:row>95</xdr:row>
                    <xdr:rowOff>285750</xdr:rowOff>
                  </to>
                </anchor>
              </controlPr>
            </control>
          </mc:Choice>
        </mc:AlternateContent>
        <mc:AlternateContent xmlns:mc="http://schemas.openxmlformats.org/markup-compatibility/2006">
          <mc:Choice Requires="x14">
            <control shapeId="31782" r:id="rId37" name="Option Button 38">
              <controlPr defaultSize="0" autoFill="0" autoLine="0" autoPict="0">
                <anchor moveWithCells="1">
                  <from>
                    <xdr:col>16</xdr:col>
                    <xdr:colOff>371475</xdr:colOff>
                    <xdr:row>96</xdr:row>
                    <xdr:rowOff>66675</xdr:rowOff>
                  </from>
                  <to>
                    <xdr:col>18</xdr:col>
                    <xdr:colOff>571500</xdr:colOff>
                    <xdr:row>96</xdr:row>
                    <xdr:rowOff>285750</xdr:rowOff>
                  </to>
                </anchor>
              </controlPr>
            </control>
          </mc:Choice>
        </mc:AlternateContent>
        <mc:AlternateContent xmlns:mc="http://schemas.openxmlformats.org/markup-compatibility/2006">
          <mc:Choice Requires="x14">
            <control shapeId="31783" r:id="rId38" name="Option Button 39">
              <controlPr defaultSize="0" autoFill="0" autoLine="0" autoPict="0">
                <anchor moveWithCells="1">
                  <from>
                    <xdr:col>16</xdr:col>
                    <xdr:colOff>371475</xdr:colOff>
                    <xdr:row>97</xdr:row>
                    <xdr:rowOff>66675</xdr:rowOff>
                  </from>
                  <to>
                    <xdr:col>18</xdr:col>
                    <xdr:colOff>600075</xdr:colOff>
                    <xdr:row>97</xdr:row>
                    <xdr:rowOff>285750</xdr:rowOff>
                  </to>
                </anchor>
              </controlPr>
            </control>
          </mc:Choice>
        </mc:AlternateContent>
        <mc:AlternateContent xmlns:mc="http://schemas.openxmlformats.org/markup-compatibility/2006">
          <mc:Choice Requires="x14">
            <control shapeId="31784" r:id="rId39" name="Option Button 40">
              <controlPr defaultSize="0" autoFill="0" autoLine="0" autoPict="0">
                <anchor moveWithCells="1">
                  <from>
                    <xdr:col>16</xdr:col>
                    <xdr:colOff>371475</xdr:colOff>
                    <xdr:row>98</xdr:row>
                    <xdr:rowOff>66675</xdr:rowOff>
                  </from>
                  <to>
                    <xdr:col>18</xdr:col>
                    <xdr:colOff>571500</xdr:colOff>
                    <xdr:row>98</xdr:row>
                    <xdr:rowOff>285750</xdr:rowOff>
                  </to>
                </anchor>
              </controlPr>
            </control>
          </mc:Choice>
        </mc:AlternateContent>
        <mc:AlternateContent xmlns:mc="http://schemas.openxmlformats.org/markup-compatibility/2006">
          <mc:Choice Requires="x14">
            <control shapeId="31787" r:id="rId40" name="Option Button 43">
              <controlPr defaultSize="0" autoFill="0" autoLine="0" autoPict="0">
                <anchor moveWithCells="1">
                  <from>
                    <xdr:col>16</xdr:col>
                    <xdr:colOff>371475</xdr:colOff>
                    <xdr:row>100</xdr:row>
                    <xdr:rowOff>66675</xdr:rowOff>
                  </from>
                  <to>
                    <xdr:col>19</xdr:col>
                    <xdr:colOff>0</xdr:colOff>
                    <xdr:row>100</xdr:row>
                    <xdr:rowOff>285750</xdr:rowOff>
                  </to>
                </anchor>
              </controlPr>
            </control>
          </mc:Choice>
        </mc:AlternateContent>
        <mc:AlternateContent xmlns:mc="http://schemas.openxmlformats.org/markup-compatibility/2006">
          <mc:Choice Requires="x14">
            <control shapeId="31788" r:id="rId41" name="Option Button 44">
              <controlPr defaultSize="0" autoFill="0" autoLine="0" autoPict="0">
                <anchor moveWithCells="1">
                  <from>
                    <xdr:col>16</xdr:col>
                    <xdr:colOff>371475</xdr:colOff>
                    <xdr:row>101</xdr:row>
                    <xdr:rowOff>66675</xdr:rowOff>
                  </from>
                  <to>
                    <xdr:col>18</xdr:col>
                    <xdr:colOff>600075</xdr:colOff>
                    <xdr:row>101</xdr:row>
                    <xdr:rowOff>285750</xdr:rowOff>
                  </to>
                </anchor>
              </controlPr>
            </control>
          </mc:Choice>
        </mc:AlternateContent>
        <mc:AlternateContent xmlns:mc="http://schemas.openxmlformats.org/markup-compatibility/2006">
          <mc:Choice Requires="x14">
            <control shapeId="31789" r:id="rId42" name="Option Button 45">
              <controlPr defaultSize="0" autoFill="0" autoLine="0" autoPict="0">
                <anchor moveWithCells="1">
                  <from>
                    <xdr:col>16</xdr:col>
                    <xdr:colOff>371475</xdr:colOff>
                    <xdr:row>102</xdr:row>
                    <xdr:rowOff>66675</xdr:rowOff>
                  </from>
                  <to>
                    <xdr:col>18</xdr:col>
                    <xdr:colOff>600075</xdr:colOff>
                    <xdr:row>102</xdr:row>
                    <xdr:rowOff>285750</xdr:rowOff>
                  </to>
                </anchor>
              </controlPr>
            </control>
          </mc:Choice>
        </mc:AlternateContent>
        <mc:AlternateContent xmlns:mc="http://schemas.openxmlformats.org/markup-compatibility/2006">
          <mc:Choice Requires="x14">
            <control shapeId="31790" r:id="rId43" name="Option Button 46">
              <controlPr defaultSize="0" autoFill="0" autoLine="0" autoPict="0">
                <anchor moveWithCells="1">
                  <from>
                    <xdr:col>16</xdr:col>
                    <xdr:colOff>371475</xdr:colOff>
                    <xdr:row>103</xdr:row>
                    <xdr:rowOff>66675</xdr:rowOff>
                  </from>
                  <to>
                    <xdr:col>18</xdr:col>
                    <xdr:colOff>571500</xdr:colOff>
                    <xdr:row>103</xdr:row>
                    <xdr:rowOff>285750</xdr:rowOff>
                  </to>
                </anchor>
              </controlPr>
            </control>
          </mc:Choice>
        </mc:AlternateContent>
        <mc:AlternateContent xmlns:mc="http://schemas.openxmlformats.org/markup-compatibility/2006">
          <mc:Choice Requires="x14">
            <control shapeId="31791" r:id="rId44" name="Option Button 47">
              <controlPr defaultSize="0" autoFill="0" autoLine="0" autoPict="0">
                <anchor moveWithCells="1">
                  <from>
                    <xdr:col>16</xdr:col>
                    <xdr:colOff>371475</xdr:colOff>
                    <xdr:row>104</xdr:row>
                    <xdr:rowOff>66675</xdr:rowOff>
                  </from>
                  <to>
                    <xdr:col>18</xdr:col>
                    <xdr:colOff>619125</xdr:colOff>
                    <xdr:row>104</xdr:row>
                    <xdr:rowOff>314325</xdr:rowOff>
                  </to>
                </anchor>
              </controlPr>
            </control>
          </mc:Choice>
        </mc:AlternateContent>
        <mc:AlternateContent xmlns:mc="http://schemas.openxmlformats.org/markup-compatibility/2006">
          <mc:Choice Requires="x14">
            <control shapeId="31792" r:id="rId45" name="Option Button 48">
              <controlPr defaultSize="0" autoFill="0" autoLine="0" autoPict="0">
                <anchor moveWithCells="1">
                  <from>
                    <xdr:col>19</xdr:col>
                    <xdr:colOff>381000</xdr:colOff>
                    <xdr:row>85</xdr:row>
                    <xdr:rowOff>66675</xdr:rowOff>
                  </from>
                  <to>
                    <xdr:col>21</xdr:col>
                    <xdr:colOff>381000</xdr:colOff>
                    <xdr:row>85</xdr:row>
                    <xdr:rowOff>285750</xdr:rowOff>
                  </to>
                </anchor>
              </controlPr>
            </control>
          </mc:Choice>
        </mc:AlternateContent>
        <mc:AlternateContent xmlns:mc="http://schemas.openxmlformats.org/markup-compatibility/2006">
          <mc:Choice Requires="x14">
            <control shapeId="31793" r:id="rId46" name="Option Button 49">
              <controlPr defaultSize="0" autoFill="0" autoLine="0" autoPict="0">
                <anchor moveWithCells="1">
                  <from>
                    <xdr:col>19</xdr:col>
                    <xdr:colOff>381000</xdr:colOff>
                    <xdr:row>86</xdr:row>
                    <xdr:rowOff>66675</xdr:rowOff>
                  </from>
                  <to>
                    <xdr:col>21</xdr:col>
                    <xdr:colOff>285750</xdr:colOff>
                    <xdr:row>86</xdr:row>
                    <xdr:rowOff>285750</xdr:rowOff>
                  </to>
                </anchor>
              </controlPr>
            </control>
          </mc:Choice>
        </mc:AlternateContent>
        <mc:AlternateContent xmlns:mc="http://schemas.openxmlformats.org/markup-compatibility/2006">
          <mc:Choice Requires="x14">
            <control shapeId="31794" r:id="rId47" name="Option Button 50">
              <controlPr defaultSize="0" autoFill="0" autoLine="0" autoPict="0">
                <anchor moveWithCells="1">
                  <from>
                    <xdr:col>19</xdr:col>
                    <xdr:colOff>381000</xdr:colOff>
                    <xdr:row>87</xdr:row>
                    <xdr:rowOff>66675</xdr:rowOff>
                  </from>
                  <to>
                    <xdr:col>21</xdr:col>
                    <xdr:colOff>333375</xdr:colOff>
                    <xdr:row>87</xdr:row>
                    <xdr:rowOff>285750</xdr:rowOff>
                  </to>
                </anchor>
              </controlPr>
            </control>
          </mc:Choice>
        </mc:AlternateContent>
        <mc:AlternateContent xmlns:mc="http://schemas.openxmlformats.org/markup-compatibility/2006">
          <mc:Choice Requires="x14">
            <control shapeId="31795" r:id="rId48" name="Option Button 51">
              <controlPr defaultSize="0" autoFill="0" autoLine="0" autoPict="0">
                <anchor moveWithCells="1">
                  <from>
                    <xdr:col>19</xdr:col>
                    <xdr:colOff>381000</xdr:colOff>
                    <xdr:row>88</xdr:row>
                    <xdr:rowOff>66675</xdr:rowOff>
                  </from>
                  <to>
                    <xdr:col>21</xdr:col>
                    <xdr:colOff>314325</xdr:colOff>
                    <xdr:row>88</xdr:row>
                    <xdr:rowOff>314325</xdr:rowOff>
                  </to>
                </anchor>
              </controlPr>
            </control>
          </mc:Choice>
        </mc:AlternateContent>
        <mc:AlternateContent xmlns:mc="http://schemas.openxmlformats.org/markup-compatibility/2006">
          <mc:Choice Requires="x14">
            <control shapeId="31796" r:id="rId49" name="Option Button 52">
              <controlPr defaultSize="0" autoFill="0" autoLine="0" autoPict="0">
                <anchor moveWithCells="1">
                  <from>
                    <xdr:col>19</xdr:col>
                    <xdr:colOff>381000</xdr:colOff>
                    <xdr:row>89</xdr:row>
                    <xdr:rowOff>66675</xdr:rowOff>
                  </from>
                  <to>
                    <xdr:col>21</xdr:col>
                    <xdr:colOff>314325</xdr:colOff>
                    <xdr:row>89</xdr:row>
                    <xdr:rowOff>285750</xdr:rowOff>
                  </to>
                </anchor>
              </controlPr>
            </control>
          </mc:Choice>
        </mc:AlternateContent>
        <mc:AlternateContent xmlns:mc="http://schemas.openxmlformats.org/markup-compatibility/2006">
          <mc:Choice Requires="x14">
            <control shapeId="31797" r:id="rId50" name="Option Button 53">
              <controlPr defaultSize="0" autoFill="0" autoLine="0" autoPict="0">
                <anchor moveWithCells="1">
                  <from>
                    <xdr:col>19</xdr:col>
                    <xdr:colOff>381000</xdr:colOff>
                    <xdr:row>90</xdr:row>
                    <xdr:rowOff>66675</xdr:rowOff>
                  </from>
                  <to>
                    <xdr:col>21</xdr:col>
                    <xdr:colOff>333375</xdr:colOff>
                    <xdr:row>90</xdr:row>
                    <xdr:rowOff>314325</xdr:rowOff>
                  </to>
                </anchor>
              </controlPr>
            </control>
          </mc:Choice>
        </mc:AlternateContent>
        <mc:AlternateContent xmlns:mc="http://schemas.openxmlformats.org/markup-compatibility/2006">
          <mc:Choice Requires="x14">
            <control shapeId="31798" r:id="rId51" name="Option Button 54">
              <controlPr defaultSize="0" autoFill="0" autoLine="0" autoPict="0">
                <anchor moveWithCells="1">
                  <from>
                    <xdr:col>19</xdr:col>
                    <xdr:colOff>381000</xdr:colOff>
                    <xdr:row>91</xdr:row>
                    <xdr:rowOff>66675</xdr:rowOff>
                  </from>
                  <to>
                    <xdr:col>21</xdr:col>
                    <xdr:colOff>285750</xdr:colOff>
                    <xdr:row>91</xdr:row>
                    <xdr:rowOff>285750</xdr:rowOff>
                  </to>
                </anchor>
              </controlPr>
            </control>
          </mc:Choice>
        </mc:AlternateContent>
        <mc:AlternateContent xmlns:mc="http://schemas.openxmlformats.org/markup-compatibility/2006">
          <mc:Choice Requires="x14">
            <control shapeId="31799" r:id="rId52" name="Option Button 55">
              <controlPr defaultSize="0" autoFill="0" autoLine="0" autoPict="0">
                <anchor moveWithCells="1">
                  <from>
                    <xdr:col>19</xdr:col>
                    <xdr:colOff>381000</xdr:colOff>
                    <xdr:row>92</xdr:row>
                    <xdr:rowOff>66675</xdr:rowOff>
                  </from>
                  <to>
                    <xdr:col>21</xdr:col>
                    <xdr:colOff>333375</xdr:colOff>
                    <xdr:row>92</xdr:row>
                    <xdr:rowOff>285750</xdr:rowOff>
                  </to>
                </anchor>
              </controlPr>
            </control>
          </mc:Choice>
        </mc:AlternateContent>
        <mc:AlternateContent xmlns:mc="http://schemas.openxmlformats.org/markup-compatibility/2006">
          <mc:Choice Requires="x14">
            <control shapeId="31800" r:id="rId53" name="Option Button 56">
              <controlPr defaultSize="0" autoFill="0" autoLine="0" autoPict="0">
                <anchor moveWithCells="1">
                  <from>
                    <xdr:col>19</xdr:col>
                    <xdr:colOff>381000</xdr:colOff>
                    <xdr:row>93</xdr:row>
                    <xdr:rowOff>66675</xdr:rowOff>
                  </from>
                  <to>
                    <xdr:col>21</xdr:col>
                    <xdr:colOff>333375</xdr:colOff>
                    <xdr:row>93</xdr:row>
                    <xdr:rowOff>285750</xdr:rowOff>
                  </to>
                </anchor>
              </controlPr>
            </control>
          </mc:Choice>
        </mc:AlternateContent>
        <mc:AlternateContent xmlns:mc="http://schemas.openxmlformats.org/markup-compatibility/2006">
          <mc:Choice Requires="x14">
            <control shapeId="31801" r:id="rId54" name="Option Button 57">
              <controlPr defaultSize="0" autoFill="0" autoLine="0" autoPict="0">
                <anchor moveWithCells="1">
                  <from>
                    <xdr:col>19</xdr:col>
                    <xdr:colOff>381000</xdr:colOff>
                    <xdr:row>94</xdr:row>
                    <xdr:rowOff>66675</xdr:rowOff>
                  </from>
                  <to>
                    <xdr:col>21</xdr:col>
                    <xdr:colOff>266700</xdr:colOff>
                    <xdr:row>94</xdr:row>
                    <xdr:rowOff>285750</xdr:rowOff>
                  </to>
                </anchor>
              </controlPr>
            </control>
          </mc:Choice>
        </mc:AlternateContent>
        <mc:AlternateContent xmlns:mc="http://schemas.openxmlformats.org/markup-compatibility/2006">
          <mc:Choice Requires="x14">
            <control shapeId="31802" r:id="rId55" name="Option Button 58">
              <controlPr defaultSize="0" autoFill="0" autoLine="0" autoPict="0">
                <anchor moveWithCells="1">
                  <from>
                    <xdr:col>19</xdr:col>
                    <xdr:colOff>381000</xdr:colOff>
                    <xdr:row>95</xdr:row>
                    <xdr:rowOff>66675</xdr:rowOff>
                  </from>
                  <to>
                    <xdr:col>21</xdr:col>
                    <xdr:colOff>285750</xdr:colOff>
                    <xdr:row>95</xdr:row>
                    <xdr:rowOff>285750</xdr:rowOff>
                  </to>
                </anchor>
              </controlPr>
            </control>
          </mc:Choice>
        </mc:AlternateContent>
        <mc:AlternateContent xmlns:mc="http://schemas.openxmlformats.org/markup-compatibility/2006">
          <mc:Choice Requires="x14">
            <control shapeId="31803" r:id="rId56" name="Option Button 59">
              <controlPr defaultSize="0" autoFill="0" autoLine="0" autoPict="0">
                <anchor moveWithCells="1">
                  <from>
                    <xdr:col>19</xdr:col>
                    <xdr:colOff>381000</xdr:colOff>
                    <xdr:row>96</xdr:row>
                    <xdr:rowOff>66675</xdr:rowOff>
                  </from>
                  <to>
                    <xdr:col>21</xdr:col>
                    <xdr:colOff>314325</xdr:colOff>
                    <xdr:row>96</xdr:row>
                    <xdr:rowOff>285750</xdr:rowOff>
                  </to>
                </anchor>
              </controlPr>
            </control>
          </mc:Choice>
        </mc:AlternateContent>
        <mc:AlternateContent xmlns:mc="http://schemas.openxmlformats.org/markup-compatibility/2006">
          <mc:Choice Requires="x14">
            <control shapeId="31804" r:id="rId57" name="Option Button 60">
              <controlPr defaultSize="0" autoFill="0" autoLine="0" autoPict="0">
                <anchor moveWithCells="1">
                  <from>
                    <xdr:col>19</xdr:col>
                    <xdr:colOff>381000</xdr:colOff>
                    <xdr:row>97</xdr:row>
                    <xdr:rowOff>66675</xdr:rowOff>
                  </from>
                  <to>
                    <xdr:col>21</xdr:col>
                    <xdr:colOff>333375</xdr:colOff>
                    <xdr:row>97</xdr:row>
                    <xdr:rowOff>285750</xdr:rowOff>
                  </to>
                </anchor>
              </controlPr>
            </control>
          </mc:Choice>
        </mc:AlternateContent>
        <mc:AlternateContent xmlns:mc="http://schemas.openxmlformats.org/markup-compatibility/2006">
          <mc:Choice Requires="x14">
            <control shapeId="31805" r:id="rId58" name="Option Button 61">
              <controlPr defaultSize="0" autoFill="0" autoLine="0" autoPict="0">
                <anchor moveWithCells="1">
                  <from>
                    <xdr:col>19</xdr:col>
                    <xdr:colOff>381000</xdr:colOff>
                    <xdr:row>98</xdr:row>
                    <xdr:rowOff>66675</xdr:rowOff>
                  </from>
                  <to>
                    <xdr:col>21</xdr:col>
                    <xdr:colOff>285750</xdr:colOff>
                    <xdr:row>98</xdr:row>
                    <xdr:rowOff>285750</xdr:rowOff>
                  </to>
                </anchor>
              </controlPr>
            </control>
          </mc:Choice>
        </mc:AlternateContent>
        <mc:AlternateContent xmlns:mc="http://schemas.openxmlformats.org/markup-compatibility/2006">
          <mc:Choice Requires="x14">
            <control shapeId="31812" r:id="rId59" name="Group Box 68">
              <controlPr defaultSize="0" autoFill="0" autoPict="0">
                <anchor moveWithCells="1">
                  <from>
                    <xdr:col>12</xdr:col>
                    <xdr:colOff>504825</xdr:colOff>
                    <xdr:row>84</xdr:row>
                    <xdr:rowOff>28575</xdr:rowOff>
                  </from>
                  <to>
                    <xdr:col>25</xdr:col>
                    <xdr:colOff>381000</xdr:colOff>
                    <xdr:row>84</xdr:row>
                    <xdr:rowOff>333375</xdr:rowOff>
                  </to>
                </anchor>
              </controlPr>
            </control>
          </mc:Choice>
        </mc:AlternateContent>
        <mc:AlternateContent xmlns:mc="http://schemas.openxmlformats.org/markup-compatibility/2006">
          <mc:Choice Requires="x14">
            <control shapeId="31813" r:id="rId60" name="Group Box 69">
              <controlPr defaultSize="0" autoFill="0" autoPict="0">
                <anchor moveWithCells="1">
                  <from>
                    <xdr:col>12</xdr:col>
                    <xdr:colOff>504825</xdr:colOff>
                    <xdr:row>85</xdr:row>
                    <xdr:rowOff>38100</xdr:rowOff>
                  </from>
                  <to>
                    <xdr:col>25</xdr:col>
                    <xdr:colOff>381000</xdr:colOff>
                    <xdr:row>85</xdr:row>
                    <xdr:rowOff>381000</xdr:rowOff>
                  </to>
                </anchor>
              </controlPr>
            </control>
          </mc:Choice>
        </mc:AlternateContent>
        <mc:AlternateContent xmlns:mc="http://schemas.openxmlformats.org/markup-compatibility/2006">
          <mc:Choice Requires="x14">
            <control shapeId="31814" r:id="rId61" name="Group Box 70">
              <controlPr defaultSize="0" autoFill="0" autoPict="0">
                <anchor moveWithCells="1">
                  <from>
                    <xdr:col>12</xdr:col>
                    <xdr:colOff>504825</xdr:colOff>
                    <xdr:row>86</xdr:row>
                    <xdr:rowOff>38100</xdr:rowOff>
                  </from>
                  <to>
                    <xdr:col>25</xdr:col>
                    <xdr:colOff>381000</xdr:colOff>
                    <xdr:row>86</xdr:row>
                    <xdr:rowOff>381000</xdr:rowOff>
                  </to>
                </anchor>
              </controlPr>
            </control>
          </mc:Choice>
        </mc:AlternateContent>
        <mc:AlternateContent xmlns:mc="http://schemas.openxmlformats.org/markup-compatibility/2006">
          <mc:Choice Requires="x14">
            <control shapeId="31815" r:id="rId62" name="Group Box 71">
              <controlPr defaultSize="0" autoFill="0" autoPict="0">
                <anchor moveWithCells="1">
                  <from>
                    <xdr:col>12</xdr:col>
                    <xdr:colOff>504825</xdr:colOff>
                    <xdr:row>87</xdr:row>
                    <xdr:rowOff>28575</xdr:rowOff>
                  </from>
                  <to>
                    <xdr:col>25</xdr:col>
                    <xdr:colOff>381000</xdr:colOff>
                    <xdr:row>87</xdr:row>
                    <xdr:rowOff>333375</xdr:rowOff>
                  </to>
                </anchor>
              </controlPr>
            </control>
          </mc:Choice>
        </mc:AlternateContent>
        <mc:AlternateContent xmlns:mc="http://schemas.openxmlformats.org/markup-compatibility/2006">
          <mc:Choice Requires="x14">
            <control shapeId="31816" r:id="rId63" name="Group Box 72">
              <controlPr defaultSize="0" autoFill="0" autoPict="0">
                <anchor moveWithCells="1">
                  <from>
                    <xdr:col>12</xdr:col>
                    <xdr:colOff>504825</xdr:colOff>
                    <xdr:row>88</xdr:row>
                    <xdr:rowOff>38100</xdr:rowOff>
                  </from>
                  <to>
                    <xdr:col>25</xdr:col>
                    <xdr:colOff>381000</xdr:colOff>
                    <xdr:row>88</xdr:row>
                    <xdr:rowOff>381000</xdr:rowOff>
                  </to>
                </anchor>
              </controlPr>
            </control>
          </mc:Choice>
        </mc:AlternateContent>
        <mc:AlternateContent xmlns:mc="http://schemas.openxmlformats.org/markup-compatibility/2006">
          <mc:Choice Requires="x14">
            <control shapeId="31817" r:id="rId64" name="Group Box 73">
              <controlPr defaultSize="0" autoFill="0" autoPict="0">
                <anchor moveWithCells="1">
                  <from>
                    <xdr:col>12</xdr:col>
                    <xdr:colOff>504825</xdr:colOff>
                    <xdr:row>89</xdr:row>
                    <xdr:rowOff>47625</xdr:rowOff>
                  </from>
                  <to>
                    <xdr:col>25</xdr:col>
                    <xdr:colOff>381000</xdr:colOff>
                    <xdr:row>89</xdr:row>
                    <xdr:rowOff>381000</xdr:rowOff>
                  </to>
                </anchor>
              </controlPr>
            </control>
          </mc:Choice>
        </mc:AlternateContent>
        <mc:AlternateContent xmlns:mc="http://schemas.openxmlformats.org/markup-compatibility/2006">
          <mc:Choice Requires="x14">
            <control shapeId="31818" r:id="rId65" name="Group Box 74">
              <controlPr defaultSize="0" autoFill="0" autoPict="0">
                <anchor moveWithCells="1">
                  <from>
                    <xdr:col>12</xdr:col>
                    <xdr:colOff>504825</xdr:colOff>
                    <xdr:row>90</xdr:row>
                    <xdr:rowOff>38100</xdr:rowOff>
                  </from>
                  <to>
                    <xdr:col>25</xdr:col>
                    <xdr:colOff>381000</xdr:colOff>
                    <xdr:row>90</xdr:row>
                    <xdr:rowOff>381000</xdr:rowOff>
                  </to>
                </anchor>
              </controlPr>
            </control>
          </mc:Choice>
        </mc:AlternateContent>
        <mc:AlternateContent xmlns:mc="http://schemas.openxmlformats.org/markup-compatibility/2006">
          <mc:Choice Requires="x14">
            <control shapeId="31819" r:id="rId66" name="Group Box 75">
              <controlPr defaultSize="0" autoFill="0" autoPict="0">
                <anchor moveWithCells="1">
                  <from>
                    <xdr:col>12</xdr:col>
                    <xdr:colOff>504825</xdr:colOff>
                    <xdr:row>91</xdr:row>
                    <xdr:rowOff>38100</xdr:rowOff>
                  </from>
                  <to>
                    <xdr:col>25</xdr:col>
                    <xdr:colOff>381000</xdr:colOff>
                    <xdr:row>91</xdr:row>
                    <xdr:rowOff>381000</xdr:rowOff>
                  </to>
                </anchor>
              </controlPr>
            </control>
          </mc:Choice>
        </mc:AlternateContent>
        <mc:AlternateContent xmlns:mc="http://schemas.openxmlformats.org/markup-compatibility/2006">
          <mc:Choice Requires="x14">
            <control shapeId="31820" r:id="rId67" name="Group Box 76">
              <controlPr defaultSize="0" autoFill="0" autoPict="0">
                <anchor moveWithCells="1">
                  <from>
                    <xdr:col>12</xdr:col>
                    <xdr:colOff>504825</xdr:colOff>
                    <xdr:row>92</xdr:row>
                    <xdr:rowOff>47625</xdr:rowOff>
                  </from>
                  <to>
                    <xdr:col>25</xdr:col>
                    <xdr:colOff>381000</xdr:colOff>
                    <xdr:row>92</xdr:row>
                    <xdr:rowOff>381000</xdr:rowOff>
                  </to>
                </anchor>
              </controlPr>
            </control>
          </mc:Choice>
        </mc:AlternateContent>
        <mc:AlternateContent xmlns:mc="http://schemas.openxmlformats.org/markup-compatibility/2006">
          <mc:Choice Requires="x14">
            <control shapeId="31821" r:id="rId68" name="Group Box 77">
              <controlPr defaultSize="0" autoFill="0" autoPict="0">
                <anchor moveWithCells="1">
                  <from>
                    <xdr:col>12</xdr:col>
                    <xdr:colOff>504825</xdr:colOff>
                    <xdr:row>93</xdr:row>
                    <xdr:rowOff>57150</xdr:rowOff>
                  </from>
                  <to>
                    <xdr:col>25</xdr:col>
                    <xdr:colOff>381000</xdr:colOff>
                    <xdr:row>93</xdr:row>
                    <xdr:rowOff>381000</xdr:rowOff>
                  </to>
                </anchor>
              </controlPr>
            </control>
          </mc:Choice>
        </mc:AlternateContent>
        <mc:AlternateContent xmlns:mc="http://schemas.openxmlformats.org/markup-compatibility/2006">
          <mc:Choice Requires="x14">
            <control shapeId="31822" r:id="rId69" name="Group Box 78">
              <controlPr defaultSize="0" autoFill="0" autoPict="0">
                <anchor moveWithCells="1">
                  <from>
                    <xdr:col>12</xdr:col>
                    <xdr:colOff>504825</xdr:colOff>
                    <xdr:row>94</xdr:row>
                    <xdr:rowOff>47625</xdr:rowOff>
                  </from>
                  <to>
                    <xdr:col>25</xdr:col>
                    <xdr:colOff>381000</xdr:colOff>
                    <xdr:row>94</xdr:row>
                    <xdr:rowOff>381000</xdr:rowOff>
                  </to>
                </anchor>
              </controlPr>
            </control>
          </mc:Choice>
        </mc:AlternateContent>
        <mc:AlternateContent xmlns:mc="http://schemas.openxmlformats.org/markup-compatibility/2006">
          <mc:Choice Requires="x14">
            <control shapeId="31823" r:id="rId70" name="Group Box 79">
              <controlPr defaultSize="0" autoFill="0" autoPict="0">
                <anchor moveWithCells="1">
                  <from>
                    <xdr:col>12</xdr:col>
                    <xdr:colOff>504825</xdr:colOff>
                    <xdr:row>95</xdr:row>
                    <xdr:rowOff>57150</xdr:rowOff>
                  </from>
                  <to>
                    <xdr:col>25</xdr:col>
                    <xdr:colOff>381000</xdr:colOff>
                    <xdr:row>95</xdr:row>
                    <xdr:rowOff>381000</xdr:rowOff>
                  </to>
                </anchor>
              </controlPr>
            </control>
          </mc:Choice>
        </mc:AlternateContent>
        <mc:AlternateContent xmlns:mc="http://schemas.openxmlformats.org/markup-compatibility/2006">
          <mc:Choice Requires="x14">
            <control shapeId="31824" r:id="rId71" name="Group Box 80">
              <controlPr defaultSize="0" autoFill="0" autoPict="0">
                <anchor moveWithCells="1">
                  <from>
                    <xdr:col>12</xdr:col>
                    <xdr:colOff>504825</xdr:colOff>
                    <xdr:row>96</xdr:row>
                    <xdr:rowOff>47625</xdr:rowOff>
                  </from>
                  <to>
                    <xdr:col>25</xdr:col>
                    <xdr:colOff>381000</xdr:colOff>
                    <xdr:row>96</xdr:row>
                    <xdr:rowOff>381000</xdr:rowOff>
                  </to>
                </anchor>
              </controlPr>
            </control>
          </mc:Choice>
        </mc:AlternateContent>
        <mc:AlternateContent xmlns:mc="http://schemas.openxmlformats.org/markup-compatibility/2006">
          <mc:Choice Requires="x14">
            <control shapeId="31825" r:id="rId72" name="Group Box 81">
              <controlPr defaultSize="0" autoFill="0" autoPict="0">
                <anchor moveWithCells="1">
                  <from>
                    <xdr:col>12</xdr:col>
                    <xdr:colOff>504825</xdr:colOff>
                    <xdr:row>97</xdr:row>
                    <xdr:rowOff>38100</xdr:rowOff>
                  </from>
                  <to>
                    <xdr:col>25</xdr:col>
                    <xdr:colOff>381000</xdr:colOff>
                    <xdr:row>97</xdr:row>
                    <xdr:rowOff>381000</xdr:rowOff>
                  </to>
                </anchor>
              </controlPr>
            </control>
          </mc:Choice>
        </mc:AlternateContent>
        <mc:AlternateContent xmlns:mc="http://schemas.openxmlformats.org/markup-compatibility/2006">
          <mc:Choice Requires="x14">
            <control shapeId="31826" r:id="rId73" name="Group Box 82">
              <controlPr defaultSize="0" autoFill="0" autoPict="0">
                <anchor moveWithCells="1">
                  <from>
                    <xdr:col>12</xdr:col>
                    <xdr:colOff>504825</xdr:colOff>
                    <xdr:row>98</xdr:row>
                    <xdr:rowOff>38100</xdr:rowOff>
                  </from>
                  <to>
                    <xdr:col>25</xdr:col>
                    <xdr:colOff>381000</xdr:colOff>
                    <xdr:row>98</xdr:row>
                    <xdr:rowOff>381000</xdr:rowOff>
                  </to>
                </anchor>
              </controlPr>
            </control>
          </mc:Choice>
        </mc:AlternateContent>
        <mc:AlternateContent xmlns:mc="http://schemas.openxmlformats.org/markup-compatibility/2006">
          <mc:Choice Requires="x14">
            <control shapeId="31829" r:id="rId74" name="Group Box 85">
              <controlPr defaultSize="0" autoFill="0" autoPict="0">
                <anchor moveWithCells="1">
                  <from>
                    <xdr:col>12</xdr:col>
                    <xdr:colOff>504825</xdr:colOff>
                    <xdr:row>100</xdr:row>
                    <xdr:rowOff>28575</xdr:rowOff>
                  </from>
                  <to>
                    <xdr:col>25</xdr:col>
                    <xdr:colOff>381000</xdr:colOff>
                    <xdr:row>100</xdr:row>
                    <xdr:rowOff>333375</xdr:rowOff>
                  </to>
                </anchor>
              </controlPr>
            </control>
          </mc:Choice>
        </mc:AlternateContent>
        <mc:AlternateContent xmlns:mc="http://schemas.openxmlformats.org/markup-compatibility/2006">
          <mc:Choice Requires="x14">
            <control shapeId="31830" r:id="rId75" name="Group Box 86">
              <controlPr defaultSize="0" autoFill="0" autoPict="0">
                <anchor moveWithCells="1">
                  <from>
                    <xdr:col>12</xdr:col>
                    <xdr:colOff>504825</xdr:colOff>
                    <xdr:row>101</xdr:row>
                    <xdr:rowOff>38100</xdr:rowOff>
                  </from>
                  <to>
                    <xdr:col>25</xdr:col>
                    <xdr:colOff>381000</xdr:colOff>
                    <xdr:row>101</xdr:row>
                    <xdr:rowOff>381000</xdr:rowOff>
                  </to>
                </anchor>
              </controlPr>
            </control>
          </mc:Choice>
        </mc:AlternateContent>
        <mc:AlternateContent xmlns:mc="http://schemas.openxmlformats.org/markup-compatibility/2006">
          <mc:Choice Requires="x14">
            <control shapeId="31831" r:id="rId76" name="Group Box 87">
              <controlPr defaultSize="0" autoFill="0" autoPict="0">
                <anchor moveWithCells="1">
                  <from>
                    <xdr:col>12</xdr:col>
                    <xdr:colOff>504825</xdr:colOff>
                    <xdr:row>102</xdr:row>
                    <xdr:rowOff>28575</xdr:rowOff>
                  </from>
                  <to>
                    <xdr:col>25</xdr:col>
                    <xdr:colOff>381000</xdr:colOff>
                    <xdr:row>102</xdr:row>
                    <xdr:rowOff>333375</xdr:rowOff>
                  </to>
                </anchor>
              </controlPr>
            </control>
          </mc:Choice>
        </mc:AlternateContent>
        <mc:AlternateContent xmlns:mc="http://schemas.openxmlformats.org/markup-compatibility/2006">
          <mc:Choice Requires="x14">
            <control shapeId="31832" r:id="rId77" name="Group Box 88">
              <controlPr defaultSize="0" autoFill="0" autoPict="0">
                <anchor moveWithCells="1">
                  <from>
                    <xdr:col>12</xdr:col>
                    <xdr:colOff>504825</xdr:colOff>
                    <xdr:row>103</xdr:row>
                    <xdr:rowOff>38100</xdr:rowOff>
                  </from>
                  <to>
                    <xdr:col>25</xdr:col>
                    <xdr:colOff>381000</xdr:colOff>
                    <xdr:row>103</xdr:row>
                    <xdr:rowOff>381000</xdr:rowOff>
                  </to>
                </anchor>
              </controlPr>
            </control>
          </mc:Choice>
        </mc:AlternateContent>
        <mc:AlternateContent xmlns:mc="http://schemas.openxmlformats.org/markup-compatibility/2006">
          <mc:Choice Requires="x14">
            <control shapeId="31833" r:id="rId78" name="Group Box 89">
              <controlPr defaultSize="0" autoFill="0" autoPict="0">
                <anchor moveWithCells="1">
                  <from>
                    <xdr:col>12</xdr:col>
                    <xdr:colOff>504825</xdr:colOff>
                    <xdr:row>104</xdr:row>
                    <xdr:rowOff>28575</xdr:rowOff>
                  </from>
                  <to>
                    <xdr:col>25</xdr:col>
                    <xdr:colOff>381000</xdr:colOff>
                    <xdr:row>104</xdr:row>
                    <xdr:rowOff>333375</xdr:rowOff>
                  </to>
                </anchor>
              </controlPr>
            </control>
          </mc:Choice>
        </mc:AlternateContent>
        <mc:AlternateContent xmlns:mc="http://schemas.openxmlformats.org/markup-compatibility/2006">
          <mc:Choice Requires="x14">
            <control shapeId="31917" r:id="rId79" name="Option Button 173">
              <controlPr defaultSize="0" autoFill="0" autoLine="0" autoPict="0">
                <anchor moveWithCells="1">
                  <from>
                    <xdr:col>15</xdr:col>
                    <xdr:colOff>47625</xdr:colOff>
                    <xdr:row>8</xdr:row>
                    <xdr:rowOff>57150</xdr:rowOff>
                  </from>
                  <to>
                    <xdr:col>16</xdr:col>
                    <xdr:colOff>428625</xdr:colOff>
                    <xdr:row>8</xdr:row>
                    <xdr:rowOff>285750</xdr:rowOff>
                  </to>
                </anchor>
              </controlPr>
            </control>
          </mc:Choice>
        </mc:AlternateContent>
        <mc:AlternateContent xmlns:mc="http://schemas.openxmlformats.org/markup-compatibility/2006">
          <mc:Choice Requires="x14">
            <control shapeId="31918" r:id="rId80" name="Option Button 174">
              <controlPr defaultSize="0" autoFill="0" autoLine="0" autoPict="0">
                <anchor moveWithCells="1">
                  <from>
                    <xdr:col>17</xdr:col>
                    <xdr:colOff>66675</xdr:colOff>
                    <xdr:row>8</xdr:row>
                    <xdr:rowOff>57150</xdr:rowOff>
                  </from>
                  <to>
                    <xdr:col>18</xdr:col>
                    <xdr:colOff>523875</xdr:colOff>
                    <xdr:row>8</xdr:row>
                    <xdr:rowOff>285750</xdr:rowOff>
                  </to>
                </anchor>
              </controlPr>
            </control>
          </mc:Choice>
        </mc:AlternateContent>
        <mc:AlternateContent xmlns:mc="http://schemas.openxmlformats.org/markup-compatibility/2006">
          <mc:Choice Requires="x14">
            <control shapeId="31919" r:id="rId81" name="Option Button 175">
              <controlPr defaultSize="0" autoFill="0" autoLine="0" autoPict="0">
                <anchor moveWithCells="1">
                  <from>
                    <xdr:col>24</xdr:col>
                    <xdr:colOff>47625</xdr:colOff>
                    <xdr:row>8</xdr:row>
                    <xdr:rowOff>57150</xdr:rowOff>
                  </from>
                  <to>
                    <xdr:col>25</xdr:col>
                    <xdr:colOff>457200</xdr:colOff>
                    <xdr:row>8</xdr:row>
                    <xdr:rowOff>285750</xdr:rowOff>
                  </to>
                </anchor>
              </controlPr>
            </control>
          </mc:Choice>
        </mc:AlternateContent>
        <mc:AlternateContent xmlns:mc="http://schemas.openxmlformats.org/markup-compatibility/2006">
          <mc:Choice Requires="x14">
            <control shapeId="31920" r:id="rId82" name="Option Button 176">
              <controlPr defaultSize="0" autoFill="0" autoLine="0" autoPict="0">
                <anchor moveWithCells="1">
                  <from>
                    <xdr:col>26</xdr:col>
                    <xdr:colOff>57150</xdr:colOff>
                    <xdr:row>8</xdr:row>
                    <xdr:rowOff>57150</xdr:rowOff>
                  </from>
                  <to>
                    <xdr:col>27</xdr:col>
                    <xdr:colOff>523875</xdr:colOff>
                    <xdr:row>8</xdr:row>
                    <xdr:rowOff>285750</xdr:rowOff>
                  </to>
                </anchor>
              </controlPr>
            </control>
          </mc:Choice>
        </mc:AlternateContent>
        <mc:AlternateContent xmlns:mc="http://schemas.openxmlformats.org/markup-compatibility/2006">
          <mc:Choice Requires="x14">
            <control shapeId="31921" r:id="rId83" name="Option Button 177">
              <controlPr defaultSize="0" autoFill="0" autoLine="0" autoPict="0">
                <anchor moveWithCells="1">
                  <from>
                    <xdr:col>28</xdr:col>
                    <xdr:colOff>66675</xdr:colOff>
                    <xdr:row>8</xdr:row>
                    <xdr:rowOff>57150</xdr:rowOff>
                  </from>
                  <to>
                    <xdr:col>29</xdr:col>
                    <xdr:colOff>333375</xdr:colOff>
                    <xdr:row>8</xdr:row>
                    <xdr:rowOff>285750</xdr:rowOff>
                  </to>
                </anchor>
              </controlPr>
            </control>
          </mc:Choice>
        </mc:AlternateContent>
        <mc:AlternateContent xmlns:mc="http://schemas.openxmlformats.org/markup-compatibility/2006">
          <mc:Choice Requires="x14">
            <control shapeId="31922" r:id="rId84" name="Group Box 178">
              <controlPr defaultSize="0" autoFill="0" autoPict="0">
                <anchor moveWithCells="1">
                  <from>
                    <xdr:col>14</xdr:col>
                    <xdr:colOff>390525</xdr:colOff>
                    <xdr:row>7</xdr:row>
                    <xdr:rowOff>266700</xdr:rowOff>
                  </from>
                  <to>
                    <xdr:col>21</xdr:col>
                    <xdr:colOff>47625</xdr:colOff>
                    <xdr:row>9</xdr:row>
                    <xdr:rowOff>95250</xdr:rowOff>
                  </to>
                </anchor>
              </controlPr>
            </control>
          </mc:Choice>
        </mc:AlternateContent>
        <mc:AlternateContent xmlns:mc="http://schemas.openxmlformats.org/markup-compatibility/2006">
          <mc:Choice Requires="x14">
            <control shapeId="31923" r:id="rId85" name="Group Box 179">
              <controlPr defaultSize="0" autoFill="0" autoPict="0">
                <anchor moveWithCells="1">
                  <from>
                    <xdr:col>23</xdr:col>
                    <xdr:colOff>466725</xdr:colOff>
                    <xdr:row>7</xdr:row>
                    <xdr:rowOff>276225</xdr:rowOff>
                  </from>
                  <to>
                    <xdr:col>29</xdr:col>
                    <xdr:colOff>476250</xdr:colOff>
                    <xdr:row>9</xdr:row>
                    <xdr:rowOff>95250</xdr:rowOff>
                  </to>
                </anchor>
              </controlPr>
            </control>
          </mc:Choice>
        </mc:AlternateContent>
        <mc:AlternateContent xmlns:mc="http://schemas.openxmlformats.org/markup-compatibility/2006">
          <mc:Choice Requires="x14">
            <control shapeId="32365" r:id="rId86" name="Option Button 621">
              <controlPr defaultSize="0" autoFill="0" autoLine="0" autoPict="0">
                <anchor moveWithCells="1">
                  <from>
                    <xdr:col>13</xdr:col>
                    <xdr:colOff>371475</xdr:colOff>
                    <xdr:row>99</xdr:row>
                    <xdr:rowOff>66675</xdr:rowOff>
                  </from>
                  <to>
                    <xdr:col>15</xdr:col>
                    <xdr:colOff>304800</xdr:colOff>
                    <xdr:row>99</xdr:row>
                    <xdr:rowOff>285750</xdr:rowOff>
                  </to>
                </anchor>
              </controlPr>
            </control>
          </mc:Choice>
        </mc:AlternateContent>
        <mc:AlternateContent xmlns:mc="http://schemas.openxmlformats.org/markup-compatibility/2006">
          <mc:Choice Requires="x14">
            <control shapeId="32366" r:id="rId87" name="Option Button 622">
              <controlPr defaultSize="0" autoFill="0" autoLine="0" autoPict="0">
                <anchor moveWithCells="1">
                  <from>
                    <xdr:col>16</xdr:col>
                    <xdr:colOff>371475</xdr:colOff>
                    <xdr:row>99</xdr:row>
                    <xdr:rowOff>66675</xdr:rowOff>
                  </from>
                  <to>
                    <xdr:col>18</xdr:col>
                    <xdr:colOff>571500</xdr:colOff>
                    <xdr:row>99</xdr:row>
                    <xdr:rowOff>295275</xdr:rowOff>
                  </to>
                </anchor>
              </controlPr>
            </control>
          </mc:Choice>
        </mc:AlternateContent>
        <mc:AlternateContent xmlns:mc="http://schemas.openxmlformats.org/markup-compatibility/2006">
          <mc:Choice Requires="x14">
            <control shapeId="32367" r:id="rId88" name="Option Button 623">
              <controlPr defaultSize="0" autoFill="0" autoLine="0" autoPict="0">
                <anchor moveWithCells="1">
                  <from>
                    <xdr:col>19</xdr:col>
                    <xdr:colOff>381000</xdr:colOff>
                    <xdr:row>99</xdr:row>
                    <xdr:rowOff>66675</xdr:rowOff>
                  </from>
                  <to>
                    <xdr:col>21</xdr:col>
                    <xdr:colOff>295275</xdr:colOff>
                    <xdr:row>99</xdr:row>
                    <xdr:rowOff>295275</xdr:rowOff>
                  </to>
                </anchor>
              </controlPr>
            </control>
          </mc:Choice>
        </mc:AlternateContent>
        <mc:AlternateContent xmlns:mc="http://schemas.openxmlformats.org/markup-compatibility/2006">
          <mc:Choice Requires="x14">
            <control shapeId="32368" r:id="rId89" name="Group Box 624">
              <controlPr defaultSize="0" autoFill="0" autoPict="0">
                <anchor moveWithCells="1">
                  <from>
                    <xdr:col>12</xdr:col>
                    <xdr:colOff>504825</xdr:colOff>
                    <xdr:row>99</xdr:row>
                    <xdr:rowOff>38100</xdr:rowOff>
                  </from>
                  <to>
                    <xdr:col>25</xdr:col>
                    <xdr:colOff>381000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D9939D9-5904-4102-B895-9F31C0516164}">
          <x14:formula1>
            <xm:f>産業分類!$B$2:$B$21</xm:f>
          </x14:formula1>
          <xm:sqref>P12:U12</xm:sqref>
        </x14:dataValidation>
        <x14:dataValidation type="list" allowBlank="1" showInputMessage="1" showErrorMessage="1" xr:uid="{395BB9F6-7AEC-4AC9-825B-FB90B4655561}">
          <x14:formula1>
            <xm:f>'プルダウンリスト（エネルギー）'!$A:$A</xm:f>
          </x14:formula1>
          <xm:sqref>E28:I28</xm:sqref>
        </x14:dataValidation>
        <x14:dataValidation type="list" allowBlank="1" showInputMessage="1" showErrorMessage="1" xr:uid="{244B0D78-4C61-4FFF-B2E8-4A0ABF74E103}">
          <x14:formula1>
            <xm:f>'プルダウンリスト（エネルギー）'!$C:$C</xm:f>
          </x14:formula1>
          <xm:sqref>E34:I34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0D0B-155E-43C8-AE2B-B8FA933A45CD}">
  <sheetPr codeName="Sheet5">
    <tabColor theme="7" tint="0.59999389629810485"/>
    <pageSetUpPr fitToPage="1"/>
  </sheetPr>
  <dimension ref="A1:AD41"/>
  <sheetViews>
    <sheetView showGridLines="0" zoomScaleNormal="100" zoomScaleSheetLayoutView="85" zoomScalePageLayoutView="70" workbookViewId="0">
      <pane ySplit="2" topLeftCell="A3" activePane="bottomLeft" state="frozen"/>
      <selection pane="bottomLeft" sqref="A1:D1"/>
    </sheetView>
  </sheetViews>
  <sheetFormatPr defaultColWidth="8.625" defaultRowHeight="18.75" outlineLevelCol="1"/>
  <cols>
    <col min="1" max="1" width="0.5" style="20" customWidth="1"/>
    <col min="2" max="2" width="1.375" style="20" customWidth="1"/>
    <col min="3" max="21" width="4.625" style="20" customWidth="1"/>
    <col min="22" max="22" width="0.5" style="20" customWidth="1"/>
    <col min="23" max="23" width="4.625" style="20" customWidth="1"/>
    <col min="24" max="24" width="13.625" style="20" hidden="1" customWidth="1" outlineLevel="1"/>
    <col min="25" max="29" width="9.875" style="20" hidden="1" customWidth="1" outlineLevel="1"/>
    <col min="30" max="30" width="7.25" style="20" customWidth="1" collapsed="1"/>
    <col min="31" max="67" width="7.25" style="20" customWidth="1"/>
    <col min="68" max="16384" width="8.625" style="20"/>
  </cols>
  <sheetData>
    <row r="1" spans="1:29" ht="22.5">
      <c r="A1" s="624">
        <v>2026</v>
      </c>
      <c r="B1" s="625"/>
      <c r="C1" s="625"/>
      <c r="D1" s="626"/>
      <c r="E1" s="40" t="s">
        <v>4165</v>
      </c>
      <c r="F1" s="217"/>
      <c r="G1" s="217"/>
      <c r="H1" s="13"/>
      <c r="I1" s="13"/>
      <c r="J1" s="380" t="s">
        <v>4166</v>
      </c>
      <c r="K1" s="13"/>
      <c r="L1" s="13"/>
      <c r="M1" s="13"/>
      <c r="N1" s="13"/>
      <c r="O1" s="13"/>
      <c r="P1" s="13"/>
      <c r="Q1" s="13"/>
      <c r="R1" s="13"/>
      <c r="S1" s="13"/>
      <c r="T1" s="13"/>
      <c r="U1" s="13"/>
      <c r="V1" s="13"/>
      <c r="X1" s="381" t="s">
        <v>4177</v>
      </c>
    </row>
    <row r="2" spans="1:29" ht="6" customHeight="1">
      <c r="A2" s="13"/>
      <c r="B2" s="13"/>
      <c r="C2" s="13"/>
      <c r="D2" s="13"/>
      <c r="E2" s="13"/>
      <c r="F2" s="13"/>
      <c r="G2" s="13"/>
      <c r="H2" s="13"/>
      <c r="I2" s="13"/>
      <c r="J2" s="13"/>
      <c r="K2" s="13"/>
      <c r="L2" s="13"/>
      <c r="M2" s="13"/>
      <c r="N2" s="13"/>
      <c r="O2" s="13"/>
      <c r="P2" s="13"/>
      <c r="Q2" s="13"/>
      <c r="R2" s="13"/>
      <c r="S2" s="13"/>
      <c r="T2" s="13"/>
      <c r="U2" s="13"/>
      <c r="V2" s="13"/>
    </row>
    <row r="3" spans="1:29" ht="29.1" customHeight="1">
      <c r="A3" s="13"/>
      <c r="B3" s="13"/>
      <c r="C3" s="13"/>
      <c r="D3" s="13"/>
      <c r="E3" s="13"/>
      <c r="F3" s="13"/>
      <c r="G3" s="13"/>
      <c r="H3" s="13"/>
      <c r="I3" s="13"/>
      <c r="J3" s="13"/>
      <c r="K3" s="13"/>
      <c r="L3" s="13"/>
      <c r="M3" s="13"/>
      <c r="N3" s="13"/>
      <c r="O3" s="13"/>
      <c r="P3" s="13"/>
      <c r="Q3" s="623" t="e" vm="1">
        <v>#VALUE!</v>
      </c>
      <c r="R3" s="623"/>
      <c r="S3" s="623"/>
      <c r="T3" s="623"/>
      <c r="U3" s="623"/>
      <c r="V3" s="13"/>
    </row>
    <row r="4" spans="1:29" ht="26.1" customHeight="1">
      <c r="A4" s="13"/>
      <c r="B4" s="369" t="s">
        <v>4141</v>
      </c>
      <c r="C4" s="369"/>
      <c r="D4" s="370"/>
      <c r="E4" s="370"/>
      <c r="F4" s="370"/>
      <c r="G4" s="370"/>
      <c r="H4" s="370"/>
      <c r="I4" s="370"/>
      <c r="J4" s="370"/>
      <c r="K4" s="370"/>
      <c r="L4" s="370"/>
      <c r="M4" s="370"/>
      <c r="N4" s="370"/>
      <c r="O4" s="370"/>
      <c r="P4" s="13"/>
      <c r="Q4" s="623"/>
      <c r="R4" s="623"/>
      <c r="S4" s="623"/>
      <c r="T4" s="623"/>
      <c r="U4" s="623"/>
      <c r="V4" s="13"/>
    </row>
    <row r="5" spans="1:29" ht="6" customHeight="1">
      <c r="A5" s="13"/>
      <c r="B5" s="13"/>
      <c r="C5" s="13"/>
      <c r="D5" s="13"/>
      <c r="E5" s="13"/>
      <c r="F5" s="13"/>
      <c r="G5" s="13"/>
      <c r="H5" s="13"/>
      <c r="I5" s="13"/>
      <c r="J5" s="13"/>
      <c r="K5" s="13"/>
      <c r="L5" s="13"/>
      <c r="M5" s="13"/>
      <c r="N5" s="13"/>
      <c r="O5" s="13"/>
      <c r="P5" s="13"/>
      <c r="Q5" s="623"/>
      <c r="R5" s="623"/>
      <c r="S5" s="623"/>
      <c r="T5" s="623"/>
      <c r="U5" s="623"/>
      <c r="V5" s="13"/>
    </row>
    <row r="6" spans="1:29">
      <c r="A6" s="13"/>
      <c r="B6" s="627" t="s">
        <v>4143</v>
      </c>
      <c r="C6" s="628"/>
      <c r="D6" s="628"/>
      <c r="E6" s="629"/>
      <c r="F6" s="630" t="str">
        <f>'入力シート（2029年度提出用）'!F8</f>
        <v/>
      </c>
      <c r="G6" s="630"/>
      <c r="H6" s="630"/>
      <c r="I6" s="630"/>
      <c r="J6" s="630"/>
      <c r="K6" s="630"/>
      <c r="L6" s="630"/>
      <c r="M6" s="630"/>
      <c r="N6" s="630"/>
      <c r="O6" s="630"/>
      <c r="P6" s="13"/>
      <c r="Q6" s="623"/>
      <c r="R6" s="623"/>
      <c r="S6" s="623"/>
      <c r="T6" s="623"/>
      <c r="U6" s="623"/>
      <c r="V6" s="13"/>
      <c r="Y6" s="371"/>
    </row>
    <row r="7" spans="1:29">
      <c r="A7" s="13"/>
      <c r="B7" s="627" t="s">
        <v>4142</v>
      </c>
      <c r="C7" s="628"/>
      <c r="D7" s="628"/>
      <c r="E7" s="629"/>
      <c r="F7" s="630" t="str">
        <f>'入力シート（2029年度提出用）'!P8</f>
        <v/>
      </c>
      <c r="G7" s="630"/>
      <c r="H7" s="630"/>
      <c r="I7" s="630"/>
      <c r="J7" s="630"/>
      <c r="K7" s="630"/>
      <c r="L7" s="630"/>
      <c r="M7" s="630"/>
      <c r="N7" s="630"/>
      <c r="O7" s="630"/>
      <c r="P7" s="13"/>
      <c r="Q7" s="623"/>
      <c r="R7" s="623"/>
      <c r="S7" s="623"/>
      <c r="T7" s="623"/>
      <c r="U7" s="623"/>
      <c r="V7" s="13"/>
    </row>
    <row r="8" spans="1:29">
      <c r="A8" s="13"/>
      <c r="B8" s="627" t="s">
        <v>4144</v>
      </c>
      <c r="C8" s="628"/>
      <c r="D8" s="628"/>
      <c r="E8" s="629"/>
      <c r="F8" s="630" t="str">
        <f>IF('入力シート（2029年度提出用）'!AG9=1,'入力シート（2029年度提出用）'!F10,'入力シート（2029年度提出用）'!P11)</f>
        <v/>
      </c>
      <c r="G8" s="630"/>
      <c r="H8" s="630"/>
      <c r="I8" s="630"/>
      <c r="J8" s="630"/>
      <c r="K8" s="630"/>
      <c r="L8" s="630"/>
      <c r="M8" s="630"/>
      <c r="N8" s="630"/>
      <c r="O8" s="630"/>
      <c r="P8" s="13"/>
      <c r="Q8" s="623"/>
      <c r="R8" s="623"/>
      <c r="S8" s="623"/>
      <c r="T8" s="623"/>
      <c r="U8" s="623"/>
      <c r="V8" s="13"/>
    </row>
    <row r="9" spans="1:29">
      <c r="A9" s="13"/>
      <c r="B9" s="627" t="s">
        <v>4145</v>
      </c>
      <c r="C9" s="628"/>
      <c r="D9" s="628"/>
      <c r="E9" s="629"/>
      <c r="F9" s="630" t="str">
        <f>'入力シート（2029年度提出用）'!P12</f>
        <v/>
      </c>
      <c r="G9" s="630"/>
      <c r="H9" s="630"/>
      <c r="I9" s="630"/>
      <c r="J9" s="630"/>
      <c r="K9" s="630"/>
      <c r="L9" s="630"/>
      <c r="M9" s="630"/>
      <c r="N9" s="630"/>
      <c r="O9" s="630"/>
      <c r="P9" s="13"/>
      <c r="Q9" s="623"/>
      <c r="R9" s="623"/>
      <c r="S9" s="623"/>
      <c r="T9" s="623"/>
      <c r="U9" s="623"/>
      <c r="V9" s="13"/>
      <c r="X9" s="42" t="s">
        <v>4168</v>
      </c>
      <c r="Y9" s="372">
        <f>IFERROR(INDEX(基本設定シート!I12:I15,MATCH(公表用シート!A1,基本設定シート!C12:C15,0)),"")</f>
        <v>11</v>
      </c>
    </row>
    <row r="10" spans="1:29" ht="7.5" customHeight="1">
      <c r="A10" s="13"/>
      <c r="B10" s="13"/>
      <c r="C10" s="13"/>
      <c r="D10" s="13"/>
      <c r="E10" s="13"/>
      <c r="F10" s="13"/>
      <c r="G10" s="13"/>
      <c r="H10" s="13"/>
      <c r="I10" s="13"/>
      <c r="J10" s="13"/>
      <c r="K10" s="13"/>
      <c r="L10" s="13"/>
      <c r="M10" s="13"/>
      <c r="N10" s="13"/>
      <c r="O10" s="13"/>
      <c r="P10" s="13"/>
      <c r="Q10" s="13"/>
      <c r="R10" s="13"/>
      <c r="S10" s="13"/>
      <c r="T10" s="13"/>
      <c r="U10" s="13"/>
      <c r="V10" s="13"/>
    </row>
    <row r="11" spans="1:29" ht="19.5">
      <c r="A11" s="13"/>
      <c r="B11" s="201" t="s">
        <v>4146</v>
      </c>
      <c r="C11" s="16"/>
      <c r="D11" s="13"/>
      <c r="E11" s="13"/>
      <c r="F11" s="13"/>
      <c r="G11" s="13"/>
      <c r="H11" s="13"/>
      <c r="I11" s="13"/>
      <c r="J11" s="13"/>
      <c r="K11" s="13"/>
      <c r="L11" s="13"/>
      <c r="M11" s="13"/>
      <c r="N11" s="13"/>
      <c r="O11" s="13"/>
      <c r="P11" s="13"/>
      <c r="Q11" s="13"/>
      <c r="R11" s="13"/>
      <c r="S11" s="13"/>
      <c r="T11" s="13"/>
      <c r="U11" s="13"/>
      <c r="V11" s="13"/>
      <c r="X11" s="588" t="s">
        <v>4172</v>
      </c>
      <c r="Y11" s="589"/>
      <c r="Z11" s="383" t="s">
        <v>4170</v>
      </c>
      <c r="AA11" s="383"/>
      <c r="AB11" s="383"/>
      <c r="AC11" s="383"/>
    </row>
    <row r="12" spans="1:29">
      <c r="A12" s="13"/>
      <c r="B12" s="621" t="str">
        <f>基本設定シート!$B$11-1&amp;"年度"</f>
        <v>2025年度</v>
      </c>
      <c r="C12" s="621"/>
      <c r="D12" s="621"/>
      <c r="E12" s="621"/>
      <c r="F12" s="609" t="s">
        <v>4156</v>
      </c>
      <c r="G12" s="609"/>
      <c r="H12" s="605" t="str">
        <f>IF(A1="","",'入力シート（2026年度提出用）'!U61)</f>
        <v/>
      </c>
      <c r="I12" s="606"/>
      <c r="J12" s="394" t="s">
        <v>4147</v>
      </c>
      <c r="K12" s="439"/>
      <c r="L12" s="47"/>
      <c r="M12" s="47"/>
      <c r="N12" s="47"/>
      <c r="O12" s="47"/>
      <c r="P12" s="47"/>
      <c r="Q12" s="47"/>
      <c r="R12" s="47"/>
      <c r="S12" s="47"/>
      <c r="T12" s="47"/>
      <c r="U12" s="28"/>
      <c r="V12" s="13"/>
      <c r="X12" s="590"/>
      <c r="Y12" s="591"/>
      <c r="Z12" s="42">
        <f>基本設定シート!C6</f>
        <v>2026</v>
      </c>
      <c r="AA12" s="42">
        <f>基本設定シート!C7</f>
        <v>2027</v>
      </c>
      <c r="AB12" s="42">
        <f>基本設定シート!C8</f>
        <v>2028</v>
      </c>
      <c r="AC12" s="42">
        <f>基本設定シート!C8+1</f>
        <v>2029</v>
      </c>
    </row>
    <row r="13" spans="1:29">
      <c r="A13" s="13"/>
      <c r="B13" s="615" t="str">
        <f>基本設定シート!$B$11&amp;"年度"</f>
        <v>2026年度</v>
      </c>
      <c r="C13" s="616"/>
      <c r="D13" s="616"/>
      <c r="E13" s="617"/>
      <c r="F13" s="609" t="s">
        <v>4157</v>
      </c>
      <c r="G13" s="609"/>
      <c r="H13" s="605" t="str">
        <f>IF(A1="","",'入力シート（2026年度提出用）'!AB61)</f>
        <v/>
      </c>
      <c r="I13" s="606"/>
      <c r="J13" s="394" t="s">
        <v>4147</v>
      </c>
      <c r="K13" s="439"/>
      <c r="L13" s="47"/>
      <c r="M13" s="373" t="s">
        <v>4173</v>
      </c>
      <c r="N13" s="599" t="str">
        <f>IF(A1="","",IF('入力シート（2026年度提出用）'!M61="","",'入力シート（2026年度提出用）'!M61))</f>
        <v/>
      </c>
      <c r="O13" s="599"/>
      <c r="P13" s="47" t="s">
        <v>4167</v>
      </c>
      <c r="Q13" s="374"/>
      <c r="R13" s="47"/>
      <c r="S13" s="47"/>
      <c r="T13" s="47"/>
      <c r="U13" s="28"/>
      <c r="V13" s="13"/>
      <c r="X13" s="601" t="s">
        <v>4169</v>
      </c>
      <c r="Y13" s="42">
        <f>基本設定シート!C6</f>
        <v>2026</v>
      </c>
      <c r="Z13" s="42">
        <v>11</v>
      </c>
      <c r="AA13" s="42">
        <v>12</v>
      </c>
      <c r="AB13" s="42">
        <v>13</v>
      </c>
      <c r="AC13" s="42">
        <v>14</v>
      </c>
    </row>
    <row r="14" spans="1:29">
      <c r="A14" s="13"/>
      <c r="B14" s="618"/>
      <c r="C14" s="619"/>
      <c r="D14" s="619"/>
      <c r="E14" s="620"/>
      <c r="F14" s="609" t="s">
        <v>4156</v>
      </c>
      <c r="G14" s="609"/>
      <c r="H14" s="605" t="str">
        <f>IF(OR(Y9=AA13,Y9=AB13,Y9=AC13),'入力シート（2027年度提出用）'!T53,IF(OR(Y9=AB14,Y9=AC14),'入力シート（2028年度提出用）'!T53,IF(Y9=AC15,'入力シート（2029年度提出用）'!T53,"")))</f>
        <v/>
      </c>
      <c r="I14" s="606"/>
      <c r="J14" s="394" t="s">
        <v>4147</v>
      </c>
      <c r="K14" s="439"/>
      <c r="L14" s="47"/>
      <c r="M14" s="373" t="str">
        <f>IF(P14="","","〈前年度比")</f>
        <v/>
      </c>
      <c r="N14" s="599" t="str">
        <f>IFERROR(IF(OR(Y9=AA13,Y9=AB13,Y9=AC13),ABS('入力シート（2027年度提出用）'!T52),IF(OR(Y9=AB14,Y9=AC14),ABS('入力シート（2028年度提出用）'!T52),IF(Y9=AC15,ABS('入力シート（2029年度提出用）'!T52),""))),"")</f>
        <v/>
      </c>
      <c r="O14" s="599"/>
      <c r="P14" s="47" t="str">
        <f>IF(OR(Y9=AA13,Y9=AB13,Y9=AC13),'入力シート（2027年度提出用）'!V52&amp;"〉",IF(OR(Y9=AB14,Y9=AC14),'入力シート（2028年度提出用）'!V52&amp;"〉",IF(Y9=AC15,'入力シート（2029年度提出用）'!V52&amp;"〉","")))</f>
        <v/>
      </c>
      <c r="Q14" s="374"/>
      <c r="R14" s="47"/>
      <c r="S14" s="47"/>
      <c r="T14" s="47"/>
      <c r="U14" s="28"/>
      <c r="V14" s="13"/>
      <c r="X14" s="383"/>
      <c r="Y14" s="42">
        <f>基本設定シート!C7</f>
        <v>2027</v>
      </c>
      <c r="Z14" s="42" t="s">
        <v>27</v>
      </c>
      <c r="AA14" s="42">
        <v>21</v>
      </c>
      <c r="AB14" s="42">
        <v>22</v>
      </c>
      <c r="AC14" s="42">
        <v>23</v>
      </c>
    </row>
    <row r="15" spans="1:29">
      <c r="A15" s="13"/>
      <c r="B15" s="618"/>
      <c r="C15" s="619"/>
      <c r="D15" s="619"/>
      <c r="E15" s="620"/>
      <c r="F15" s="609"/>
      <c r="G15" s="609"/>
      <c r="H15" s="610" t="s">
        <v>4148</v>
      </c>
      <c r="I15" s="610"/>
      <c r="J15" s="610"/>
      <c r="K15" s="610"/>
      <c r="L15" s="35"/>
      <c r="M15" s="43"/>
      <c r="N15" s="43"/>
      <c r="O15" s="43"/>
      <c r="P15" s="43"/>
      <c r="Q15" s="43"/>
      <c r="R15" s="43"/>
      <c r="S15" s="43"/>
      <c r="T15" s="43"/>
      <c r="U15" s="36"/>
      <c r="V15" s="13"/>
      <c r="X15" s="383"/>
      <c r="Y15" s="42">
        <f>基本設定シート!C8</f>
        <v>2028</v>
      </c>
      <c r="Z15" s="42" t="s">
        <v>27</v>
      </c>
      <c r="AA15" s="42" t="s">
        <v>27</v>
      </c>
      <c r="AB15" s="42">
        <v>31</v>
      </c>
      <c r="AC15" s="42">
        <v>32</v>
      </c>
    </row>
    <row r="16" spans="1:29" ht="44.25" customHeight="1">
      <c r="A16" s="13"/>
      <c r="B16" s="602"/>
      <c r="C16" s="603"/>
      <c r="D16" s="603"/>
      <c r="E16" s="604"/>
      <c r="F16" s="609"/>
      <c r="G16" s="609"/>
      <c r="H16" s="622" t="str">
        <f>IF(OR(Y9=AA13,Y9=AB13,Y9=AC13),'入力シート（2027年度提出用）'!F55,IF(OR(Y9=AB14,Y9=AC14),'入力シート（2028年度提出用）'!F55,IF(Y9=AC15,'入力シート（2029年度提出用）'!F55,"")))</f>
        <v/>
      </c>
      <c r="I16" s="613"/>
      <c r="J16" s="613"/>
      <c r="K16" s="613"/>
      <c r="L16" s="613"/>
      <c r="M16" s="613"/>
      <c r="N16" s="613"/>
      <c r="O16" s="613"/>
      <c r="P16" s="613"/>
      <c r="Q16" s="613"/>
      <c r="R16" s="613"/>
      <c r="S16" s="613"/>
      <c r="T16" s="613"/>
      <c r="U16" s="614"/>
      <c r="V16" s="13"/>
    </row>
    <row r="17" spans="1:29">
      <c r="A17" s="13"/>
      <c r="B17" s="615" t="str">
        <f>基本設定シート!$B$11+1&amp;"年度"</f>
        <v>2027年度</v>
      </c>
      <c r="C17" s="616"/>
      <c r="D17" s="616"/>
      <c r="E17" s="617"/>
      <c r="F17" s="609" t="s">
        <v>4157</v>
      </c>
      <c r="G17" s="609"/>
      <c r="H17" s="605" t="str">
        <f>IF(OR(Y9=AA13,Y9=AB13,Y9=AC13),'入力シート（2027年度提出用）'!AB61,IF(OR(Y9=AB14,Y9=AC14),'入力シート（2028年度提出用）'!AB61,IF(Y9=AC15,'入力シート（2029年度提出用）'!AB61,"")))</f>
        <v/>
      </c>
      <c r="I17" s="606"/>
      <c r="J17" s="394" t="s">
        <v>4147</v>
      </c>
      <c r="K17" s="439"/>
      <c r="L17" s="47"/>
      <c r="M17" s="373" t="s">
        <v>4173</v>
      </c>
      <c r="N17" s="599" t="str">
        <f>IF(OR(Y9=AA13,Y9=AB13,Y9=AC13),IF('入力シート（2027年度提出用）'!M61="","",'入力シート（2027年度提出用）'!M61),IF(OR(Y9=AB14,Y9=AC14),IF('入力シート（2028年度提出用）'!M61="","",'入力シート（2028年度提出用）'!M61),IF(Y9=AC15,IF('入力シート（2029年度提出用）'!M61="","",'入力シート（2029年度提出用）'!M61),"")))</f>
        <v/>
      </c>
      <c r="O17" s="599"/>
      <c r="P17" s="47" t="s">
        <v>4167</v>
      </c>
      <c r="Q17" s="47"/>
      <c r="R17" s="47"/>
      <c r="S17" s="47"/>
      <c r="T17" s="47"/>
      <c r="U17" s="28"/>
      <c r="V17" s="13"/>
    </row>
    <row r="18" spans="1:29">
      <c r="A18" s="13"/>
      <c r="B18" s="618"/>
      <c r="C18" s="619"/>
      <c r="D18" s="619"/>
      <c r="E18" s="620"/>
      <c r="F18" s="609" t="s">
        <v>4156</v>
      </c>
      <c r="G18" s="609"/>
      <c r="H18" s="605" t="str">
        <f>IF(OR(Y9=AB13,Y9=AC13),'入力シート（2028年度提出用）'!T53,IF(Y9=AC14,'入力シート（2029年度提出用）'!T53,""))</f>
        <v/>
      </c>
      <c r="I18" s="606"/>
      <c r="J18" s="394" t="s">
        <v>4147</v>
      </c>
      <c r="K18" s="439"/>
      <c r="L18" s="47"/>
      <c r="M18" s="373" t="str">
        <f>IF(P18="","","〈前年度比")</f>
        <v/>
      </c>
      <c r="N18" s="599" t="str">
        <f>IFERROR(IF(OR(Y9=AB13,Y9=AC13),ABS('入力シート（2028年度提出用）'!T52),IF(Y9=AC14,ABS('入力シート（2029年度提出用）'!T52),"")),"")</f>
        <v/>
      </c>
      <c r="O18" s="599"/>
      <c r="P18" s="47" t="str">
        <f>IF(OR(Y9=AB13,Y9=AC13),'入力シート（2028年度提出用）'!V52&amp;"〉",IF(Y9=AC14,'入力シート（2029年度提出用）'!V52&amp;"〉",""))</f>
        <v/>
      </c>
      <c r="Q18" s="47"/>
      <c r="R18" s="47"/>
      <c r="S18" s="47"/>
      <c r="T18" s="47"/>
      <c r="U18" s="28"/>
      <c r="V18" s="13"/>
    </row>
    <row r="19" spans="1:29">
      <c r="A19" s="13"/>
      <c r="B19" s="618"/>
      <c r="C19" s="619"/>
      <c r="D19" s="619"/>
      <c r="E19" s="620"/>
      <c r="F19" s="609"/>
      <c r="G19" s="609"/>
      <c r="H19" s="610" t="s">
        <v>4148</v>
      </c>
      <c r="I19" s="610"/>
      <c r="J19" s="610"/>
      <c r="K19" s="610"/>
      <c r="L19" s="35"/>
      <c r="M19" s="43"/>
      <c r="N19" s="43"/>
      <c r="O19" s="43"/>
      <c r="P19" s="43"/>
      <c r="Q19" s="43"/>
      <c r="R19" s="43"/>
      <c r="S19" s="43"/>
      <c r="T19" s="43"/>
      <c r="U19" s="36"/>
      <c r="V19" s="13"/>
    </row>
    <row r="20" spans="1:29" ht="44.25" customHeight="1">
      <c r="A20" s="13"/>
      <c r="B20" s="602"/>
      <c r="C20" s="603"/>
      <c r="D20" s="603"/>
      <c r="E20" s="604"/>
      <c r="F20" s="609"/>
      <c r="G20" s="609"/>
      <c r="H20" s="611" t="str">
        <f>IF(OR(Y9=AB13,Y9=AC13),'入力シート（2028年度提出用）'!F55,IF(Y9=AC14,'入力シート（2029年度提出用）'!F55,""))</f>
        <v/>
      </c>
      <c r="I20" s="612"/>
      <c r="J20" s="612"/>
      <c r="K20" s="612"/>
      <c r="L20" s="613"/>
      <c r="M20" s="613"/>
      <c r="N20" s="613"/>
      <c r="O20" s="613"/>
      <c r="P20" s="613"/>
      <c r="Q20" s="613"/>
      <c r="R20" s="613"/>
      <c r="S20" s="613"/>
      <c r="T20" s="613"/>
      <c r="U20" s="614"/>
      <c r="V20" s="13"/>
    </row>
    <row r="21" spans="1:29">
      <c r="A21" s="13"/>
      <c r="B21" s="615" t="str">
        <f>IF(基本設定シート!$B$11=基本設定シート!$C$8,"",基本設定シート!$B$11+2&amp;"年度")</f>
        <v>2028年度</v>
      </c>
      <c r="C21" s="616"/>
      <c r="D21" s="616"/>
      <c r="E21" s="617"/>
      <c r="F21" s="609" t="s">
        <v>4157</v>
      </c>
      <c r="G21" s="609"/>
      <c r="H21" s="605" t="str">
        <f>IF(OR(Y9=AB13,Y9=AC13),'入力シート（2028年度提出用）'!AB61,IF(Y9=AC14,'入力シート（2029年度提出用）'!AB61,""))</f>
        <v/>
      </c>
      <c r="I21" s="606"/>
      <c r="J21" s="394" t="s">
        <v>4147</v>
      </c>
      <c r="K21" s="439"/>
      <c r="L21" s="47"/>
      <c r="M21" s="373" t="s">
        <v>4173</v>
      </c>
      <c r="N21" s="599" t="str">
        <f>IF(OR(Y9=AB13,Y9=AC13),IF('入力シート（2028年度提出用）'!M61="","",'入力シート（2028年度提出用）'!M61),IF(Y9=AC14,IF('入力シート（2029年度提出用）'!M61="","",'入力シート（2029年度提出用）'!M61),""))</f>
        <v/>
      </c>
      <c r="O21" s="599"/>
      <c r="P21" s="47" t="s">
        <v>4167</v>
      </c>
      <c r="Q21" s="47"/>
      <c r="R21" s="47"/>
      <c r="S21" s="47"/>
      <c r="T21" s="47"/>
      <c r="U21" s="28"/>
      <c r="V21" s="13"/>
      <c r="Z21" s="60"/>
    </row>
    <row r="22" spans="1:29">
      <c r="A22" s="13"/>
      <c r="B22" s="618"/>
      <c r="C22" s="619"/>
      <c r="D22" s="619"/>
      <c r="E22" s="620"/>
      <c r="F22" s="609" t="s">
        <v>4156</v>
      </c>
      <c r="G22" s="609"/>
      <c r="H22" s="605" t="str">
        <f>IF(Y9=AC13,'入力シート（2029年度提出用）'!T53,"")</f>
        <v/>
      </c>
      <c r="I22" s="606"/>
      <c r="J22" s="394" t="s">
        <v>4147</v>
      </c>
      <c r="K22" s="439"/>
      <c r="L22" s="47"/>
      <c r="M22" s="373" t="str">
        <f>IF(P22="","","〈前年度比")</f>
        <v/>
      </c>
      <c r="N22" s="599" t="str">
        <f>IFERROR(IF(Y9=AC13,ABS('入力シート（2029年度提出用）'!T52),""),"")</f>
        <v/>
      </c>
      <c r="O22" s="599"/>
      <c r="P22" s="47" t="str">
        <f>IF(Y9=AC13,'入力シート（2029年度提出用）'!V52&amp;"〉","")</f>
        <v/>
      </c>
      <c r="Q22" s="47"/>
      <c r="R22" s="47"/>
      <c r="S22" s="47"/>
      <c r="T22" s="47"/>
      <c r="U22" s="28"/>
      <c r="V22" s="13"/>
      <c r="Z22" s="60"/>
    </row>
    <row r="23" spans="1:29">
      <c r="A23" s="13"/>
      <c r="B23" s="618"/>
      <c r="C23" s="619"/>
      <c r="D23" s="619"/>
      <c r="E23" s="620"/>
      <c r="F23" s="609"/>
      <c r="G23" s="609"/>
      <c r="H23" s="610" t="s">
        <v>4148</v>
      </c>
      <c r="I23" s="610"/>
      <c r="J23" s="610"/>
      <c r="K23" s="610"/>
      <c r="L23" s="35"/>
      <c r="M23" s="43"/>
      <c r="N23" s="43"/>
      <c r="O23" s="43"/>
      <c r="P23" s="43"/>
      <c r="Q23" s="43"/>
      <c r="R23" s="43"/>
      <c r="S23" s="43"/>
      <c r="T23" s="43"/>
      <c r="U23" s="36"/>
      <c r="V23" s="13"/>
    </row>
    <row r="24" spans="1:29" ht="44.45" customHeight="1">
      <c r="A24" s="13"/>
      <c r="B24" s="602"/>
      <c r="C24" s="603"/>
      <c r="D24" s="603"/>
      <c r="E24" s="604"/>
      <c r="F24" s="609"/>
      <c r="G24" s="609"/>
      <c r="H24" s="611" t="str">
        <f>IF(Y9=AC13,'入力シート（2029年度提出用）'!F55,"")</f>
        <v/>
      </c>
      <c r="I24" s="612"/>
      <c r="J24" s="612"/>
      <c r="K24" s="612"/>
      <c r="L24" s="613"/>
      <c r="M24" s="613"/>
      <c r="N24" s="613"/>
      <c r="O24" s="613"/>
      <c r="P24" s="613"/>
      <c r="Q24" s="613"/>
      <c r="R24" s="613"/>
      <c r="S24" s="613"/>
      <c r="T24" s="613"/>
      <c r="U24" s="614"/>
      <c r="V24" s="13"/>
    </row>
    <row r="25" spans="1:29">
      <c r="A25" s="13"/>
      <c r="B25" s="602" t="str">
        <f>IF(OR(基本設定シート!$B$11=基本設定シート!$C$7,基本設定シート!$B$11=基本設定シート!$C$8),"",基本設定シート!$B$11+3&amp;"年度")</f>
        <v>2029年度</v>
      </c>
      <c r="C25" s="603"/>
      <c r="D25" s="603"/>
      <c r="E25" s="604"/>
      <c r="F25" s="609" t="s">
        <v>4157</v>
      </c>
      <c r="G25" s="609"/>
      <c r="H25" s="605" t="str">
        <f>IF(Y9=AC13,'入力シート（2029年度提出用）'!AB61,"")</f>
        <v/>
      </c>
      <c r="I25" s="606"/>
      <c r="J25" s="394" t="s">
        <v>4147</v>
      </c>
      <c r="K25" s="439"/>
      <c r="L25" s="47"/>
      <c r="M25" s="373" t="s">
        <v>4173</v>
      </c>
      <c r="N25" s="599" t="str">
        <f>IF(Y9=AC13,IF('入力シート（2029年度提出用）'!M61="","",'入力シート（2029年度提出用）'!M61),"")</f>
        <v/>
      </c>
      <c r="O25" s="599"/>
      <c r="P25" s="47" t="s">
        <v>4167</v>
      </c>
      <c r="Q25" s="47"/>
      <c r="R25" s="47"/>
      <c r="S25" s="47"/>
      <c r="T25" s="47"/>
      <c r="U25" s="28"/>
      <c r="V25" s="13"/>
    </row>
    <row r="26" spans="1:29" ht="7.5" customHeight="1">
      <c r="A26" s="13"/>
      <c r="B26" s="13"/>
      <c r="C26" s="13"/>
      <c r="D26" s="13"/>
      <c r="E26" s="13"/>
      <c r="F26" s="13"/>
      <c r="G26" s="13"/>
      <c r="H26" s="13"/>
      <c r="I26" s="13"/>
      <c r="J26" s="13"/>
      <c r="K26" s="13"/>
      <c r="L26" s="13"/>
      <c r="M26" s="13"/>
      <c r="N26" s="13"/>
      <c r="O26" s="13"/>
      <c r="P26" s="13"/>
      <c r="Q26" s="13"/>
      <c r="R26" s="13"/>
      <c r="S26" s="13"/>
      <c r="T26" s="13"/>
      <c r="U26" s="13"/>
      <c r="V26" s="13"/>
    </row>
    <row r="27" spans="1:29" ht="19.5">
      <c r="A27" s="13"/>
      <c r="B27" s="201" t="str">
        <f>IF(A1="","◆省エネの取り組みの実施状況等","◆省エネの取り組みの実施状況等（"&amp;A1-1&amp;"年度）")</f>
        <v>◆省エネの取り組みの実施状況等（2025年度）</v>
      </c>
      <c r="C27" s="16"/>
      <c r="D27" s="13"/>
      <c r="E27" s="13"/>
      <c r="F27" s="13"/>
      <c r="G27" s="13"/>
      <c r="H27" s="13"/>
      <c r="I27" s="13"/>
      <c r="J27" s="13"/>
      <c r="K27" s="13"/>
      <c r="L27" s="13"/>
      <c r="M27" s="13"/>
      <c r="N27" s="13"/>
      <c r="O27" s="13"/>
      <c r="P27" s="13"/>
      <c r="Q27" s="13"/>
      <c r="R27" s="13"/>
      <c r="S27" s="13"/>
      <c r="T27" s="13"/>
      <c r="U27" s="13"/>
      <c r="V27" s="13"/>
      <c r="X27" s="41" t="s">
        <v>4174</v>
      </c>
      <c r="Y27" s="600" t="str">
        <f>A1-1&amp;"年度"</f>
        <v>2025年度</v>
      </c>
      <c r="Z27" s="600"/>
    </row>
    <row r="28" spans="1:29">
      <c r="A28" s="13"/>
      <c r="B28" s="592" t="s">
        <v>4149</v>
      </c>
      <c r="C28" s="593"/>
      <c r="D28" s="593"/>
      <c r="E28" s="593"/>
      <c r="F28" s="593"/>
      <c r="G28" s="593"/>
      <c r="H28" s="593"/>
      <c r="I28" s="593"/>
      <c r="J28" s="593"/>
      <c r="K28" s="593"/>
      <c r="L28" s="594"/>
      <c r="M28" s="13"/>
      <c r="N28" s="13"/>
      <c r="O28" s="13"/>
      <c r="P28" s="13"/>
      <c r="Q28" s="13"/>
      <c r="R28" s="13"/>
      <c r="S28" s="13"/>
      <c r="T28" s="13"/>
      <c r="U28" s="13"/>
      <c r="V28" s="13"/>
    </row>
    <row r="29" spans="1:29">
      <c r="A29" s="13"/>
      <c r="B29" s="375"/>
      <c r="C29" s="595" t="s">
        <v>4158</v>
      </c>
      <c r="D29" s="596"/>
      <c r="E29" s="596"/>
      <c r="F29" s="597">
        <f>IFERROR(INDEX('入力シート（2029年度提出用）'!AR86:AR89,MATCH(公表用シート!Y27,'入力シート（2029年度提出用）'!AL86:AL89,0)),"")</f>
        <v>0</v>
      </c>
      <c r="G29" s="598"/>
      <c r="H29" s="595" t="s">
        <v>4159</v>
      </c>
      <c r="I29" s="596"/>
      <c r="J29" s="596"/>
      <c r="K29" s="597">
        <f>IFERROR(INDEX('入力シート（2029年度提出用）'!AS86:AS89,MATCH(公表用シート!Y27,'入力シート（2029年度提出用）'!AL86:AL89,0)),"")</f>
        <v>0</v>
      </c>
      <c r="L29" s="598"/>
      <c r="M29" s="13"/>
      <c r="N29" s="13"/>
      <c r="O29" s="13"/>
      <c r="P29" s="13"/>
      <c r="Q29" s="13"/>
      <c r="R29" s="13"/>
      <c r="S29" s="13"/>
      <c r="T29" s="13"/>
      <c r="U29" s="13"/>
      <c r="V29" s="13"/>
      <c r="X29" s="20" t="s">
        <v>4109</v>
      </c>
      <c r="Z29" s="20" t="s">
        <v>4140</v>
      </c>
    </row>
    <row r="30" spans="1:29">
      <c r="A30" s="13"/>
      <c r="B30" s="592" t="s">
        <v>4150</v>
      </c>
      <c r="C30" s="607"/>
      <c r="D30" s="607"/>
      <c r="E30" s="607"/>
      <c r="F30" s="607"/>
      <c r="G30" s="607"/>
      <c r="H30" s="607"/>
      <c r="I30" s="607"/>
      <c r="J30" s="607"/>
      <c r="K30" s="607"/>
      <c r="L30" s="608"/>
      <c r="M30" s="13"/>
      <c r="N30" s="13"/>
      <c r="O30" s="13"/>
      <c r="P30" s="13"/>
      <c r="Q30" s="13"/>
      <c r="R30" s="13"/>
      <c r="S30" s="13"/>
      <c r="T30" s="13"/>
      <c r="U30" s="13"/>
      <c r="V30" s="13"/>
      <c r="X30" s="24"/>
      <c r="Y30" s="42">
        <f>基本設定シート!$B$11-1</f>
        <v>2025</v>
      </c>
      <c r="Z30" s="42">
        <f>基本設定シート!$B$11</f>
        <v>2026</v>
      </c>
      <c r="AA30" s="42">
        <f>基本設定シート!$B$11+1</f>
        <v>2027</v>
      </c>
      <c r="AB30" s="42">
        <f>IF(基本設定シート!$B$11=基本設定シート!$C$8,"",基本設定シート!$B$11+2)</f>
        <v>2028</v>
      </c>
      <c r="AC30" s="42">
        <f>IF(OR(基本設定シート!$B$11=基本設定シート!$C$7,基本設定シート!$B$11=基本設定シート!$C$8),"",基本設定シート!$B$11+3)</f>
        <v>2029</v>
      </c>
    </row>
    <row r="31" spans="1:29">
      <c r="A31" s="13"/>
      <c r="B31" s="376"/>
      <c r="C31" s="586" t="str">
        <f>IF(OR($Y$9=$Z$13,$Y$9=$AA$14,$Y$9=$AB$15),'入力シート（2026年度提出用）'!E101,IF($Y$9=$AA$13,'入力シート（2027年度提出用）'!E101,IF(OR($Y$9=$AB$13,$Y$9=$AB$14),'入力シート（2028年度提出用）'!E101,IF(OR($Y$9=$AC$13,$Y$9=$AC$14,$Y$9=$AC$15),'入力シート（2029年度提出用）'!E101,""))))</f>
        <v>（自由記述欄）</v>
      </c>
      <c r="D31" s="586"/>
      <c r="E31" s="586"/>
      <c r="F31" s="586"/>
      <c r="G31" s="586"/>
      <c r="H31" s="586"/>
      <c r="I31" s="586"/>
      <c r="J31" s="587" t="str">
        <f>IF(OR($Y$9=$Z$13,$Y$9=$AA$14,$Y$9=$AB$15),'入力シート（2026年度提出用）'!AH101,IF($Y$9=$AA$13,'入力シート（2027年度提出用）'!AH101,IF(OR($Y$9=$AB$13,$Y$9=$AB$14),'入力シート（2028年度提出用）'!AH101,IF(OR($Y$9=$AC$13,$Y$9=$AC$14,$Y$9=$AC$15),'入力シート（2029年度提出用）'!AH101,""))))</f>
        <v>項目設定なし</v>
      </c>
      <c r="K31" s="587"/>
      <c r="L31" s="587"/>
      <c r="M31" s="13"/>
      <c r="N31" s="13"/>
      <c r="O31" s="13"/>
      <c r="P31" s="13"/>
      <c r="Q31" s="13"/>
      <c r="R31" s="13"/>
      <c r="S31" s="13"/>
      <c r="T31" s="13"/>
      <c r="U31" s="13"/>
      <c r="V31" s="13"/>
      <c r="X31" s="42" t="s">
        <v>4119</v>
      </c>
      <c r="Y31" s="205"/>
      <c r="Z31" s="205" t="e">
        <f>IF(OR($Y$9=$Z$13,$Y$9=$AA$14,$Y$9=$AB$15),IF(H13="",NA(),H13),NA())</f>
        <v>#N/A</v>
      </c>
      <c r="AA31" s="205" t="e">
        <f>IF(OR($Y$9=$AA$13,$Y$9=$AB$14,$Y$9=$AC$15),IF(H17="",NA(),H17),NA())</f>
        <v>#N/A</v>
      </c>
      <c r="AB31" s="205" t="e">
        <f>IF(OR($Y$9=$AB$13,$Y$9=$AC$14),IF(H21="",NA(),H21),NA())</f>
        <v>#N/A</v>
      </c>
      <c r="AC31" s="205" t="e">
        <f>IF($Y$9=$AC$13,IF(H25="",NA(),H25),NA())</f>
        <v>#N/A</v>
      </c>
    </row>
    <row r="32" spans="1:29">
      <c r="A32" s="44"/>
      <c r="B32" s="377"/>
      <c r="C32" s="586"/>
      <c r="D32" s="586"/>
      <c r="E32" s="586"/>
      <c r="F32" s="586"/>
      <c r="G32" s="586"/>
      <c r="H32" s="586"/>
      <c r="I32" s="586"/>
      <c r="J32" s="587"/>
      <c r="K32" s="587"/>
      <c r="L32" s="587"/>
      <c r="M32" s="13"/>
      <c r="N32" s="13"/>
      <c r="O32" s="13"/>
      <c r="P32" s="13"/>
      <c r="Q32" s="13"/>
      <c r="R32" s="13"/>
      <c r="S32" s="13"/>
      <c r="T32" s="13"/>
      <c r="U32" s="13"/>
      <c r="V32" s="13"/>
      <c r="X32" s="41" t="s">
        <v>4176</v>
      </c>
      <c r="Y32" s="205" t="e">
        <f>IF(H12="",NA(),H12)</f>
        <v>#N/A</v>
      </c>
      <c r="Z32" s="205" t="e">
        <f>IF(H14="",NA(),H14)</f>
        <v>#N/A</v>
      </c>
      <c r="AA32" s="205" t="e">
        <f>IF(H18="",NA(),H18)</f>
        <v>#N/A</v>
      </c>
      <c r="AB32" s="205" t="e">
        <f>IF(H22="",NA(),H22)</f>
        <v>#N/A</v>
      </c>
      <c r="AC32" s="205"/>
    </row>
    <row r="33" spans="1:29">
      <c r="A33" s="44"/>
      <c r="B33" s="377"/>
      <c r="C33" s="586" t="str">
        <f>IF(OR($Y$9=$Z$13,$Y$9=$AA$14,$Y$9=$AB$15),'入力シート（2026年度提出用）'!E102,IF($Y$9=$AA$13,'入力シート（2027年度提出用）'!E102,IF(OR($Y$9=$AB$13,$Y$9=$AB$14),'入力シート（2028年度提出用）'!E102,IF(OR($Y$9=$AC$13,$Y$9=$AC$14,$Y$9=$AC$15),'入力シート（2029年度提出用）'!E102,""))))</f>
        <v>（自由記述欄）</v>
      </c>
      <c r="D33" s="586"/>
      <c r="E33" s="586"/>
      <c r="F33" s="586"/>
      <c r="G33" s="586"/>
      <c r="H33" s="586"/>
      <c r="I33" s="586"/>
      <c r="J33" s="587" t="str">
        <f>IF(OR($Y$9=$Z$13,$Y$9=$AA$14,$Y$9=$AB$15),'入力シート（2026年度提出用）'!AH102,IF($Y$9=$AA$13,'入力シート（2027年度提出用）'!AH102,IF(OR($Y$9=$AB$13,$Y$9=$AB$14),'入力シート（2028年度提出用）'!AH102,IF(OR($Y$9=$AC$13,$Y$9=$AC$14,$Y$9=$AC$15),'入力シート（2029年度提出用）'!AH102,""))))</f>
        <v>項目設定なし</v>
      </c>
      <c r="K33" s="587"/>
      <c r="L33" s="587"/>
      <c r="M33" s="13"/>
      <c r="N33" s="13"/>
      <c r="O33" s="13"/>
      <c r="P33" s="13"/>
      <c r="Q33" s="13"/>
      <c r="R33" s="13"/>
      <c r="S33" s="13"/>
      <c r="T33" s="13"/>
      <c r="U33" s="13"/>
      <c r="V33" s="13"/>
      <c r="X33" s="42" t="s">
        <v>23</v>
      </c>
      <c r="Y33" s="205" t="e">
        <f>IF(H12="",NA(),H12)</f>
        <v>#N/A</v>
      </c>
      <c r="Z33" s="205" t="e">
        <f>IF(H14="",NA(),H14)</f>
        <v>#N/A</v>
      </c>
      <c r="AA33" s="205" t="e">
        <f>IF(H18="",NA(),H18)</f>
        <v>#N/A</v>
      </c>
      <c r="AB33" s="205" t="e">
        <f>IF(H22="",NA(),H22)</f>
        <v>#N/A</v>
      </c>
      <c r="AC33" s="205"/>
    </row>
    <row r="34" spans="1:29">
      <c r="A34" s="44"/>
      <c r="B34" s="377"/>
      <c r="C34" s="586"/>
      <c r="D34" s="586"/>
      <c r="E34" s="586"/>
      <c r="F34" s="586"/>
      <c r="G34" s="586"/>
      <c r="H34" s="586"/>
      <c r="I34" s="586"/>
      <c r="J34" s="587"/>
      <c r="K34" s="587"/>
      <c r="L34" s="587"/>
      <c r="M34" s="13"/>
      <c r="N34" s="13"/>
      <c r="O34" s="13"/>
      <c r="P34" s="13"/>
      <c r="Q34" s="13"/>
      <c r="R34" s="13"/>
      <c r="S34" s="13"/>
      <c r="T34" s="13"/>
      <c r="U34" s="13"/>
      <c r="V34" s="13"/>
      <c r="X34" s="41" t="s">
        <v>4180</v>
      </c>
      <c r="Y34" s="41" t="s">
        <v>4179</v>
      </c>
      <c r="Z34" s="378" t="str">
        <f>IF(H14="","-",($Y$33-Z33)/$Y$33)</f>
        <v>-</v>
      </c>
      <c r="AA34" s="378" t="str">
        <f>IF(H18="","-",($Y$33-AA33)/$Y$33)</f>
        <v>-</v>
      </c>
      <c r="AB34" s="378" t="str">
        <f>IF(H22="","-",($Y$33-AB33)/$Y$33)</f>
        <v>-</v>
      </c>
      <c r="AC34" s="41" t="s">
        <v>27</v>
      </c>
    </row>
    <row r="35" spans="1:29">
      <c r="A35" s="44"/>
      <c r="B35" s="377"/>
      <c r="C35" s="586" t="str">
        <f>IF(OR($Y$9=$Z$13,$Y$9=$AA$14,$Y$9=$AB$15),'入力シート（2026年度提出用）'!E103,IF($Y$9=$AA$13,'入力シート（2027年度提出用）'!E103,IF(OR($Y$9=$AB$13,$Y$9=$AB$14),'入力シート（2028年度提出用）'!E103,IF(OR($Y$9=$AC$13,$Y$9=$AC$14,$Y$9=$AC$15),'入力シート（2029年度提出用）'!E103,""))))</f>
        <v>（自由記述欄）</v>
      </c>
      <c r="D35" s="586"/>
      <c r="E35" s="586"/>
      <c r="F35" s="586"/>
      <c r="G35" s="586"/>
      <c r="H35" s="586"/>
      <c r="I35" s="586"/>
      <c r="J35" s="587" t="str">
        <f>IF(OR($Y$9=$Z$13,$Y$9=$AA$14,$Y$9=$AB$15),'入力シート（2026年度提出用）'!AH103,IF($Y$9=$AA$13,'入力シート（2027年度提出用）'!AH103,IF(OR($Y$9=$AB$13,$Y$9=$AB$14),'入力シート（2028年度提出用）'!AH103,IF(OR($Y$9=$AC$13,$Y$9=$AC$14,$Y$9=$AC$15),'入力シート（2029年度提出用）'!AH103,""))))</f>
        <v>項目設定なし</v>
      </c>
      <c r="K35" s="587"/>
      <c r="L35" s="587"/>
      <c r="M35" s="13"/>
      <c r="N35" s="13"/>
      <c r="O35" s="13"/>
      <c r="P35" s="13"/>
      <c r="Q35" s="13"/>
      <c r="R35" s="13"/>
      <c r="S35" s="13"/>
      <c r="T35" s="13"/>
      <c r="U35" s="13"/>
      <c r="V35" s="13"/>
    </row>
    <row r="36" spans="1:29">
      <c r="A36" s="44"/>
      <c r="B36" s="377"/>
      <c r="C36" s="586"/>
      <c r="D36" s="586"/>
      <c r="E36" s="586"/>
      <c r="F36" s="586"/>
      <c r="G36" s="586"/>
      <c r="H36" s="586"/>
      <c r="I36" s="586"/>
      <c r="J36" s="587"/>
      <c r="K36" s="587"/>
      <c r="L36" s="587"/>
      <c r="M36" s="13"/>
      <c r="N36" s="13"/>
      <c r="O36" s="13"/>
      <c r="P36" s="13"/>
      <c r="Q36" s="13"/>
      <c r="R36" s="13"/>
      <c r="S36" s="13"/>
      <c r="T36" s="13"/>
      <c r="U36" s="13"/>
      <c r="V36" s="13"/>
    </row>
    <row r="37" spans="1:29">
      <c r="A37" s="44"/>
      <c r="B37" s="377"/>
      <c r="C37" s="586" t="str">
        <f>IF(OR($Y$9=$Z$13,$Y$9=$AA$14,$Y$9=$AB$15),'入力シート（2026年度提出用）'!E104,IF($Y$9=$AA$13,'入力シート（2027年度提出用）'!E104,IF(OR($Y$9=$AB$13,$Y$9=$AB$14),'入力シート（2028年度提出用）'!E104,IF(OR($Y$9=$AC$13,$Y$9=$AC$14,$Y$9=$AC$15),'入力シート（2029年度提出用）'!E104,""))))</f>
        <v>（自由記述欄）</v>
      </c>
      <c r="D37" s="586"/>
      <c r="E37" s="586"/>
      <c r="F37" s="586"/>
      <c r="G37" s="586"/>
      <c r="H37" s="586"/>
      <c r="I37" s="586"/>
      <c r="J37" s="587" t="str">
        <f>IF(OR($Y$9=$Z$13,$Y$9=$AA$14,$Y$9=$AB$15),'入力シート（2026年度提出用）'!AH104,IF($Y$9=$AA$13,'入力シート（2027年度提出用）'!AH104,IF(OR($Y$9=$AB$13,$Y$9=$AB$14),'入力シート（2028年度提出用）'!AH104,IF(OR($Y$9=$AC$13,$Y$9=$AC$14,$Y$9=$AC$15),'入力シート（2029年度提出用）'!AH104,""))))</f>
        <v>項目設定なし</v>
      </c>
      <c r="K37" s="587"/>
      <c r="L37" s="587"/>
      <c r="M37" s="13"/>
      <c r="N37" s="13"/>
      <c r="O37" s="13"/>
      <c r="P37" s="13"/>
      <c r="Q37" s="13"/>
      <c r="R37" s="13"/>
      <c r="S37" s="13"/>
      <c r="T37" s="13"/>
      <c r="U37" s="13"/>
      <c r="V37" s="13"/>
    </row>
    <row r="38" spans="1:29">
      <c r="A38" s="44"/>
      <c r="B38" s="377"/>
      <c r="C38" s="586"/>
      <c r="D38" s="586"/>
      <c r="E38" s="586"/>
      <c r="F38" s="586"/>
      <c r="G38" s="586"/>
      <c r="H38" s="586"/>
      <c r="I38" s="586"/>
      <c r="J38" s="587"/>
      <c r="K38" s="587"/>
      <c r="L38" s="587"/>
      <c r="M38" s="13"/>
      <c r="N38" s="13"/>
      <c r="O38" s="13"/>
      <c r="P38" s="13"/>
      <c r="Q38" s="13"/>
      <c r="R38" s="13"/>
      <c r="S38" s="13"/>
      <c r="T38" s="13"/>
      <c r="U38" s="13"/>
      <c r="V38" s="13"/>
    </row>
    <row r="39" spans="1:29">
      <c r="A39" s="44"/>
      <c r="B39" s="377"/>
      <c r="C39" s="586" t="str">
        <f>IF(OR($Y$9=$Z$13,$Y$9=$AA$14,$Y$9=$AB$15),'入力シート（2026年度提出用）'!E105,IF($Y$9=$AA$13,'入力シート（2027年度提出用）'!E105,IF(OR($Y$9=$AB$13,$Y$9=$AB$14),'入力シート（2028年度提出用）'!E105,IF(OR($Y$9=$AC$13,$Y$9=$AC$14,$Y$9=$AC$15),'入力シート（2029年度提出用）'!E105,""))))</f>
        <v>（自由記述欄）</v>
      </c>
      <c r="D39" s="586"/>
      <c r="E39" s="586"/>
      <c r="F39" s="586"/>
      <c r="G39" s="586"/>
      <c r="H39" s="586"/>
      <c r="I39" s="586"/>
      <c r="J39" s="587" t="str">
        <f>IF(OR($Y$9=$Z$13,$Y$9=$AA$14,$Y$9=$AB$15),'入力シート（2026年度提出用）'!AH105,IF($Y$9=$AA$13,'入力シート（2027年度提出用）'!AH105,IF(OR($Y$9=$AB$13,$Y$9=$AB$14),'入力シート（2028年度提出用）'!AH105,IF(OR($Y$9=$AC$13,$Y$9=$AC$14,$Y$9=$AC$15),'入力シート（2029年度提出用）'!AH105,""))))</f>
        <v>項目設定なし</v>
      </c>
      <c r="K39" s="587"/>
      <c r="L39" s="587"/>
      <c r="M39" s="13"/>
      <c r="N39" s="13"/>
      <c r="O39" s="13"/>
      <c r="P39" s="13"/>
      <c r="Q39" s="13"/>
      <c r="R39" s="13"/>
      <c r="S39" s="13"/>
      <c r="T39" s="13"/>
      <c r="U39" s="13"/>
      <c r="V39" s="13"/>
    </row>
    <row r="40" spans="1:29">
      <c r="A40" s="13"/>
      <c r="B40" s="379"/>
      <c r="C40" s="586"/>
      <c r="D40" s="586"/>
      <c r="E40" s="586"/>
      <c r="F40" s="586"/>
      <c r="G40" s="586"/>
      <c r="H40" s="586"/>
      <c r="I40" s="586"/>
      <c r="J40" s="587"/>
      <c r="K40" s="587"/>
      <c r="L40" s="587"/>
      <c r="M40" s="13"/>
      <c r="N40" s="13"/>
      <c r="O40" s="201"/>
      <c r="P40" s="201"/>
      <c r="Q40" s="201"/>
      <c r="R40" s="201"/>
      <c r="S40" s="201"/>
      <c r="T40" s="201"/>
      <c r="U40" s="13"/>
      <c r="V40" s="13"/>
    </row>
    <row r="41" spans="1:29">
      <c r="A41" s="13"/>
      <c r="B41" s="13"/>
      <c r="C41" s="13"/>
      <c r="D41" s="13"/>
      <c r="E41" s="13"/>
      <c r="F41" s="13"/>
      <c r="G41" s="13"/>
      <c r="H41" s="13"/>
      <c r="I41" s="13"/>
      <c r="J41" s="13"/>
      <c r="K41" s="13"/>
      <c r="L41" s="13"/>
      <c r="M41" s="13"/>
      <c r="N41" s="13"/>
      <c r="O41" s="13"/>
      <c r="P41" s="13"/>
      <c r="Q41" s="13"/>
      <c r="R41" s="13"/>
      <c r="S41" s="13"/>
      <c r="T41" s="13"/>
      <c r="U41" s="13"/>
      <c r="V41" s="13"/>
    </row>
  </sheetData>
  <sheetProtection algorithmName="SHA-512" hashValue="KFX2g74uPk4YDb4LgMeEwhAeoYmHLDoLBAoI/3iG6OV2r8FCk/QD3w2pffJAQ6Pv/efiNi/4mlAshXWe7kF5Lg==" saltValue="jpO56fPaSzVhPQ2Fe4ORTA==" spinCount="100000" sheet="1" objects="1" scenarios="1" selectLockedCells="1"/>
  <mergeCells count="81">
    <mergeCell ref="Q3:U9"/>
    <mergeCell ref="A1:D1"/>
    <mergeCell ref="B6:E6"/>
    <mergeCell ref="B7:E7"/>
    <mergeCell ref="B8:E8"/>
    <mergeCell ref="B9:E9"/>
    <mergeCell ref="F6:O6"/>
    <mergeCell ref="F7:O7"/>
    <mergeCell ref="F8:O8"/>
    <mergeCell ref="F9:O9"/>
    <mergeCell ref="F12:G12"/>
    <mergeCell ref="F13:G13"/>
    <mergeCell ref="B12:E12"/>
    <mergeCell ref="H12:I12"/>
    <mergeCell ref="H15:K15"/>
    <mergeCell ref="F14:G16"/>
    <mergeCell ref="H16:U16"/>
    <mergeCell ref="B13:E13"/>
    <mergeCell ref="B14:E14"/>
    <mergeCell ref="B15:E15"/>
    <mergeCell ref="B16:E16"/>
    <mergeCell ref="J12:K12"/>
    <mergeCell ref="J13:K13"/>
    <mergeCell ref="J14:K14"/>
    <mergeCell ref="H13:I13"/>
    <mergeCell ref="H14:I14"/>
    <mergeCell ref="H17:I17"/>
    <mergeCell ref="J17:K17"/>
    <mergeCell ref="F18:G20"/>
    <mergeCell ref="H18:I18"/>
    <mergeCell ref="J18:K18"/>
    <mergeCell ref="H19:K19"/>
    <mergeCell ref="H20:U20"/>
    <mergeCell ref="F17:G17"/>
    <mergeCell ref="B17:E17"/>
    <mergeCell ref="B18:E18"/>
    <mergeCell ref="B19:E19"/>
    <mergeCell ref="B20:E20"/>
    <mergeCell ref="F25:G25"/>
    <mergeCell ref="F21:G21"/>
    <mergeCell ref="H25:I25"/>
    <mergeCell ref="J25:K25"/>
    <mergeCell ref="B30:L30"/>
    <mergeCell ref="H21:I21"/>
    <mergeCell ref="J21:K21"/>
    <mergeCell ref="F22:G24"/>
    <mergeCell ref="H22:I22"/>
    <mergeCell ref="J22:K22"/>
    <mergeCell ref="H23:K23"/>
    <mergeCell ref="H24:U24"/>
    <mergeCell ref="N22:O22"/>
    <mergeCell ref="B21:E21"/>
    <mergeCell ref="B22:E22"/>
    <mergeCell ref="B23:E23"/>
    <mergeCell ref="B24:E24"/>
    <mergeCell ref="Z11:AC11"/>
    <mergeCell ref="X11:Y12"/>
    <mergeCell ref="B28:L28"/>
    <mergeCell ref="C29:E29"/>
    <mergeCell ref="H29:J29"/>
    <mergeCell ref="F29:G29"/>
    <mergeCell ref="K29:L29"/>
    <mergeCell ref="N25:O25"/>
    <mergeCell ref="Y27:Z27"/>
    <mergeCell ref="N13:O13"/>
    <mergeCell ref="N14:O14"/>
    <mergeCell ref="N17:O17"/>
    <mergeCell ref="N18:O18"/>
    <mergeCell ref="N21:O21"/>
    <mergeCell ref="X13:X15"/>
    <mergeCell ref="B25:E25"/>
    <mergeCell ref="C37:I38"/>
    <mergeCell ref="J37:L38"/>
    <mergeCell ref="C39:I40"/>
    <mergeCell ref="J39:L40"/>
    <mergeCell ref="C31:I32"/>
    <mergeCell ref="J31:L32"/>
    <mergeCell ref="C33:I34"/>
    <mergeCell ref="J33:L34"/>
    <mergeCell ref="C35:I36"/>
    <mergeCell ref="J35:L36"/>
  </mergeCells>
  <phoneticPr fontId="4"/>
  <conditionalFormatting sqref="C31:I40">
    <cfRule type="expression" dxfId="7" priority="6">
      <formula>C31="（自由記述欄）"</formula>
    </cfRule>
  </conditionalFormatting>
  <conditionalFormatting sqref="H16:U16">
    <cfRule type="expression" dxfId="6" priority="3">
      <formula>COUNTIF($H$16,"*記入例*")</formula>
    </cfRule>
  </conditionalFormatting>
  <conditionalFormatting sqref="H20:U20">
    <cfRule type="expression" dxfId="5" priority="2">
      <formula>COUNTIF($H$20,"*記入例*")</formula>
    </cfRule>
  </conditionalFormatting>
  <conditionalFormatting sqref="H24:U24">
    <cfRule type="expression" dxfId="4" priority="1">
      <formula>COUNTIF($H$24,"*記入例*")</formula>
    </cfRule>
  </conditionalFormatting>
  <conditionalFormatting sqref="J31:L40">
    <cfRule type="expression" dxfId="3" priority="4">
      <formula>J31="未選択"</formula>
    </cfRule>
    <cfRule type="expression" dxfId="2" priority="5">
      <formula>J31="項目設定なし"</formula>
    </cfRule>
  </conditionalFormatting>
  <conditionalFormatting sqref="Z13:AC15">
    <cfRule type="expression" dxfId="1" priority="58">
      <formula>Z13=$Y$9</formula>
    </cfRule>
  </conditionalFormatting>
  <pageMargins left="0.31496062992125984" right="0.11811023622047245" top="0.35433070866141736" bottom="0.35433070866141736" header="0.31496062992125984" footer="0.31496062992125984"/>
  <pageSetup paperSize="9" orientation="portrait" r:id="rId1"/>
  <headerFooter>
    <oddHeader>&amp;L&amp;"メイリオ,レギュラー"様式第１号別紙１兼様式第２号別紙１</oddHeader>
    <oddFooter>&amp;R&amp;"メイリオ,レギュラー"（一般事業者（運送事業者）用）</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72D01A8E-3611-49E1-A0F3-1CF6AA3D2B3C}">
            <xm:f>基本設定シート!$B$11=基本設定シート!$C$8</xm:f>
            <x14:dxf>
              <border>
                <bottom style="thin">
                  <color auto="1"/>
                </bottom>
                <vertical/>
                <horizontal/>
              </border>
            </x14:dxf>
          </x14:cfRule>
          <xm:sqref>B17:U17</xm:sqref>
        </x14:conditionalFormatting>
        <x14:conditionalFormatting xmlns:xm="http://schemas.microsoft.com/office/excel/2006/main">
          <x14:cfRule type="expression" priority="11" id="{E1C37050-305C-4BB7-8138-FB52093023D2}">
            <xm:f>基本設定シート!$B$11=基本設定シート!$C$8</xm:f>
            <x14:dxf>
              <font>
                <color theme="0"/>
              </font>
              <fill>
                <patternFill patternType="none">
                  <bgColor auto="1"/>
                </patternFill>
              </fill>
              <border>
                <left/>
                <right/>
                <top/>
                <bottom/>
                <vertical/>
                <horizontal/>
              </border>
            </x14:dxf>
          </x14:cfRule>
          <xm:sqref>B18:U25</xm:sqref>
        </x14:conditionalFormatting>
        <x14:conditionalFormatting xmlns:xm="http://schemas.microsoft.com/office/excel/2006/main">
          <x14:cfRule type="expression" priority="7" id="{FDB7C1F6-959C-4E57-B6D6-EC3F7CE70222}">
            <xm:f>基本設定シート!$B$11=基本設定シート!$C$7</xm:f>
            <x14:dxf>
              <border>
                <bottom style="thin">
                  <color auto="1"/>
                </bottom>
                <vertical/>
                <horizontal/>
              </border>
            </x14:dxf>
          </x14:cfRule>
          <xm:sqref>B21:U21</xm:sqref>
        </x14:conditionalFormatting>
        <x14:conditionalFormatting xmlns:xm="http://schemas.microsoft.com/office/excel/2006/main">
          <x14:cfRule type="expression" priority="8" id="{90A2E947-6F6D-4EED-AC57-90C51BAF7EF9}">
            <xm:f>基本設定シート!$B$11=基本設定シート!$C$7</xm:f>
            <x14:dxf>
              <font>
                <color theme="0"/>
              </font>
              <fill>
                <patternFill patternType="none">
                  <bgColor auto="1"/>
                </patternFill>
              </fill>
              <border>
                <left/>
                <right/>
                <top/>
                <bottom/>
                <vertical/>
                <horizontal/>
              </border>
            </x14:dxf>
          </x14:cfRule>
          <xm:sqref>B22:U25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EBEA91-F585-48BD-9F67-1173F07BD418}">
          <x14:formula1>
            <xm:f>基本設定シート!$C$12:$C$15</xm:f>
          </x14:formula1>
          <xm:sqref>A1:D1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B7D2-C4E0-421B-A047-DA0C2E7DC012}">
  <sheetPr>
    <tabColor theme="0" tint="-4.9989318521683403E-2"/>
    <pageSetUpPr fitToPage="1"/>
  </sheetPr>
  <dimension ref="A1:O51"/>
  <sheetViews>
    <sheetView showGridLines="0" zoomScaleNormal="100" zoomScaleSheetLayoutView="85" workbookViewId="0">
      <pane ySplit="2" topLeftCell="A3" activePane="bottomLeft" state="frozen"/>
      <selection pane="bottomLeft"/>
    </sheetView>
  </sheetViews>
  <sheetFormatPr defaultColWidth="8.875" defaultRowHeight="16.5" outlineLevelRow="1"/>
  <cols>
    <col min="1" max="1" width="1.125" style="150" customWidth="1"/>
    <col min="2" max="24" width="9.5" style="150" customWidth="1"/>
    <col min="25" max="16384" width="8.875" style="150"/>
  </cols>
  <sheetData>
    <row r="1" spans="1:15" ht="25.5" customHeight="1">
      <c r="A1" s="148"/>
      <c r="B1" s="149" t="s">
        <v>4302</v>
      </c>
      <c r="C1" s="148"/>
      <c r="D1" s="148"/>
      <c r="E1" s="148"/>
      <c r="F1" s="148"/>
      <c r="G1" s="148"/>
      <c r="H1" s="148"/>
      <c r="I1" s="148"/>
      <c r="J1" s="148"/>
    </row>
    <row r="2" spans="1:15" ht="5.25" customHeight="1">
      <c r="A2" s="151"/>
      <c r="B2" s="152"/>
      <c r="C2" s="151"/>
      <c r="D2" s="151"/>
      <c r="E2" s="151"/>
      <c r="F2" s="151"/>
      <c r="G2" s="151"/>
      <c r="H2" s="151"/>
      <c r="I2" s="151"/>
      <c r="J2" s="151"/>
    </row>
    <row r="3" spans="1:15" ht="5.25" customHeight="1">
      <c r="A3" s="151"/>
      <c r="B3" s="152"/>
      <c r="C3" s="151"/>
      <c r="D3" s="151"/>
      <c r="E3" s="151"/>
      <c r="F3" s="151"/>
      <c r="G3" s="151"/>
      <c r="H3" s="151"/>
      <c r="I3" s="151"/>
      <c r="J3" s="151"/>
    </row>
    <row r="4" spans="1:15" ht="36.75" customHeight="1">
      <c r="A4" s="151"/>
      <c r="B4" s="649" t="s">
        <v>4303</v>
      </c>
      <c r="C4" s="650"/>
      <c r="D4" s="651"/>
      <c r="E4" s="153" t="s">
        <v>4304</v>
      </c>
      <c r="F4" s="154" t="s">
        <v>4305</v>
      </c>
      <c r="G4" s="151"/>
      <c r="H4" s="151"/>
      <c r="I4" s="151"/>
      <c r="J4" s="151"/>
    </row>
    <row r="5" spans="1:15" ht="21.75" customHeight="1">
      <c r="A5" s="151"/>
      <c r="B5" s="154" t="s">
        <v>4306</v>
      </c>
      <c r="C5" s="652" t="s">
        <v>4307</v>
      </c>
      <c r="D5" s="653"/>
      <c r="E5" s="154">
        <v>50</v>
      </c>
      <c r="F5" s="198" t="str">
        <f>IF(J21&lt;J38,J38,J21)</f>
        <v/>
      </c>
      <c r="G5" s="151"/>
      <c r="H5" s="151"/>
      <c r="I5" s="151"/>
      <c r="J5" s="151"/>
      <c r="K5" s="150" t="str">
        <f>IF(OR(公表用シート!A1="",公表用シート!A1=基本設定シート!C12),"公表用シート左上プルダウンから表示年度を選択してください（"&amp;基本設定シート!C13&amp;"年度以降を選択すると表示されます）",公表用シート!A1&amp;"年度提出時点の評価点（公表用シート左上プルダウンで表示年度を切り替えられます）")</f>
        <v>公表用シート左上プルダウンから表示年度を選択してください（2027年度以降を選択すると表示されます）</v>
      </c>
    </row>
    <row r="6" spans="1:15" ht="21.75" customHeight="1">
      <c r="A6" s="151"/>
      <c r="B6" s="654" t="s">
        <v>4308</v>
      </c>
      <c r="C6" s="652" t="s">
        <v>4309</v>
      </c>
      <c r="D6" s="653"/>
      <c r="E6" s="154">
        <v>40</v>
      </c>
      <c r="F6" s="198">
        <f>IF(E49&lt;&gt;"",E49,IF(E48&lt;&gt;"",E48,IF(E47&lt;&gt;"",E47,"")))</f>
        <v>0</v>
      </c>
      <c r="G6" s="156"/>
      <c r="H6" s="151"/>
      <c r="I6" s="151"/>
      <c r="J6" s="151"/>
    </row>
    <row r="7" spans="1:15" ht="21.75" customHeight="1" thickBot="1">
      <c r="A7" s="151"/>
      <c r="B7" s="655"/>
      <c r="C7" s="656" t="s">
        <v>4310</v>
      </c>
      <c r="D7" s="657"/>
      <c r="E7" s="157">
        <v>10</v>
      </c>
      <c r="F7" s="199">
        <f>IF(J49&lt;&gt;"",J49,IF(J48&lt;&gt;"",J48,IF(J47&lt;&gt;"",J47,"")))</f>
        <v>0</v>
      </c>
      <c r="G7" s="158"/>
      <c r="H7" s="151"/>
      <c r="I7" s="151"/>
      <c r="J7" s="151"/>
      <c r="O7" s="159"/>
    </row>
    <row r="8" spans="1:15" ht="21.75" customHeight="1" thickTop="1" thickBot="1">
      <c r="A8" s="151"/>
      <c r="B8" s="646" t="s">
        <v>4311</v>
      </c>
      <c r="C8" s="647"/>
      <c r="D8" s="648"/>
      <c r="E8" s="160">
        <f>SUM(E5:E7)</f>
        <v>100</v>
      </c>
      <c r="F8" s="200">
        <f>ROUNDDOWN(SUM(F5:F7),0)</f>
        <v>0</v>
      </c>
      <c r="G8" s="161" t="s">
        <v>4312</v>
      </c>
      <c r="H8" s="162" t="s">
        <v>4313</v>
      </c>
      <c r="I8" s="163" t="str">
        <f>IF(F8&gt;=B12,D12,IF(AND(F8&gt;=B13,F8&lt;C13),D13,IF(F8&lt;C14,D14,"-")))</f>
        <v>B</v>
      </c>
      <c r="J8" s="151"/>
    </row>
    <row r="9" spans="1:15">
      <c r="A9" s="151"/>
      <c r="B9" s="151"/>
      <c r="C9" s="151"/>
      <c r="D9" s="151"/>
      <c r="E9" s="151"/>
      <c r="F9" s="151"/>
      <c r="G9" s="151"/>
      <c r="H9" s="635" t="str">
        <f>IF(I8=D14,"（"&amp;D13&amp;"評価まであと"&amp;ROUNDUP(B13-F8,0)&amp;"点)",IF(I8=D13,"（"&amp;D12&amp;"評価まであと"&amp;ROUNDUP(B12-F8,0)&amp;"点）",IF(I8=D12,"","")))</f>
        <v>（A評価まであと60点)</v>
      </c>
      <c r="I9" s="635"/>
      <c r="J9" s="151"/>
    </row>
    <row r="10" spans="1:15">
      <c r="A10" s="151"/>
      <c r="B10" s="636" t="s">
        <v>4314</v>
      </c>
      <c r="C10" s="636"/>
      <c r="D10" s="636" t="s">
        <v>4313</v>
      </c>
      <c r="E10" s="151"/>
      <c r="F10" s="151"/>
      <c r="G10" s="151"/>
      <c r="H10" s="151"/>
      <c r="I10" s="151"/>
      <c r="J10" s="151"/>
    </row>
    <row r="11" spans="1:15">
      <c r="A11" s="151"/>
      <c r="B11" s="154" t="s">
        <v>4315</v>
      </c>
      <c r="C11" s="154" t="s">
        <v>4316</v>
      </c>
      <c r="D11" s="636"/>
      <c r="E11" s="151"/>
      <c r="F11" s="151"/>
      <c r="G11" s="151"/>
      <c r="H11" s="151"/>
      <c r="I11" s="151"/>
      <c r="J11" s="151"/>
    </row>
    <row r="12" spans="1:15">
      <c r="A12" s="151"/>
      <c r="B12" s="155">
        <v>80</v>
      </c>
      <c r="C12" s="155" t="s">
        <v>27</v>
      </c>
      <c r="D12" s="155" t="s">
        <v>4317</v>
      </c>
      <c r="E12" s="151"/>
      <c r="F12" s="151"/>
      <c r="G12" s="151"/>
      <c r="H12" s="151"/>
      <c r="I12" s="151"/>
      <c r="J12" s="151"/>
    </row>
    <row r="13" spans="1:15">
      <c r="A13" s="151"/>
      <c r="B13" s="155">
        <v>60</v>
      </c>
      <c r="C13" s="155">
        <v>80</v>
      </c>
      <c r="D13" s="155" t="s">
        <v>4184</v>
      </c>
      <c r="E13" s="151"/>
      <c r="F13" s="151"/>
      <c r="G13" s="151"/>
      <c r="H13" s="151"/>
      <c r="I13" s="151"/>
      <c r="J13" s="151"/>
    </row>
    <row r="14" spans="1:15">
      <c r="A14" s="151"/>
      <c r="B14" s="155" t="s">
        <v>27</v>
      </c>
      <c r="C14" s="155">
        <v>60</v>
      </c>
      <c r="D14" s="155" t="s">
        <v>4318</v>
      </c>
      <c r="E14" s="151"/>
      <c r="F14" s="151"/>
      <c r="G14" s="151"/>
      <c r="H14" s="151"/>
      <c r="I14" s="151"/>
      <c r="J14" s="151"/>
    </row>
    <row r="15" spans="1:15">
      <c r="A15" s="151"/>
      <c r="B15" s="151"/>
      <c r="C15" s="151"/>
      <c r="D15" s="151"/>
      <c r="E15" s="151"/>
      <c r="F15" s="151"/>
      <c r="G15" s="151"/>
      <c r="H15" s="151"/>
      <c r="I15" s="151"/>
      <c r="J15" s="156" t="str">
        <f>"※各評価点は"&amp;基本設定シート!C13&amp;"年度提出以降になると表示されます"</f>
        <v>※各評価点は2027年度提出以降になると表示されます</v>
      </c>
    </row>
    <row r="16" spans="1:15" ht="26.25" hidden="1" customHeight="1" outlineLevel="1">
      <c r="B16" s="164" t="s">
        <v>4319</v>
      </c>
      <c r="C16" s="165"/>
      <c r="D16" s="165"/>
      <c r="E16" s="165"/>
      <c r="F16" s="165"/>
      <c r="G16" s="165"/>
      <c r="H16" s="165"/>
      <c r="I16" s="165"/>
      <c r="J16" s="165"/>
      <c r="K16" s="165"/>
      <c r="L16" s="165"/>
      <c r="M16" s="165"/>
      <c r="N16" s="165"/>
    </row>
    <row r="17" spans="1:15" ht="19.5" hidden="1" outlineLevel="1">
      <c r="A17" s="166"/>
      <c r="B17" s="167" t="s">
        <v>4320</v>
      </c>
      <c r="C17" s="168"/>
      <c r="D17" s="168"/>
      <c r="E17" s="168"/>
      <c r="F17" s="168"/>
      <c r="G17" s="168"/>
      <c r="H17" s="168"/>
      <c r="I17" s="168"/>
      <c r="J17" s="168"/>
      <c r="K17" s="168"/>
      <c r="L17" s="168"/>
      <c r="M17" s="168"/>
      <c r="N17" s="168"/>
      <c r="O17" s="169"/>
    </row>
    <row r="18" spans="1:15" ht="18.75" hidden="1" outlineLevel="1">
      <c r="A18" s="170"/>
      <c r="B18" s="171" t="s">
        <v>4321</v>
      </c>
      <c r="O18" s="172"/>
    </row>
    <row r="19" spans="1:15" hidden="1" outlineLevel="1">
      <c r="A19" s="170"/>
      <c r="B19" s="631"/>
      <c r="C19" s="631"/>
      <c r="D19" s="631"/>
      <c r="E19" s="174">
        <f>基本設定シート!$B$11-1</f>
        <v>2025</v>
      </c>
      <c r="F19" s="174">
        <f>基本設定シート!$B$11</f>
        <v>2026</v>
      </c>
      <c r="G19" s="174">
        <f>IF(基本設定シート!$B$11=基本設定シート!$C$8,"",基本設定シート!$B$11+1)</f>
        <v>2027</v>
      </c>
      <c r="H19" s="174">
        <f>IF(OR(基本設定シート!$B$11=基本設定シート!$C$7,基本設定シート!$B$11=基本設定シート!$C$8),"",基本設定シート!$B$11+2)</f>
        <v>2028</v>
      </c>
      <c r="I19" s="174" t="s">
        <v>4322</v>
      </c>
      <c r="J19" s="174" t="s">
        <v>4305</v>
      </c>
      <c r="L19" s="631" t="s">
        <v>4323</v>
      </c>
      <c r="M19" s="631"/>
      <c r="N19" s="631"/>
      <c r="O19" s="172"/>
    </row>
    <row r="20" spans="1:15" hidden="1" outlineLevel="1">
      <c r="A20" s="170"/>
      <c r="B20" s="631"/>
      <c r="C20" s="631"/>
      <c r="D20" s="631"/>
      <c r="E20" s="175" t="s">
        <v>4324</v>
      </c>
      <c r="F20" s="175" t="str">
        <f>IF(基本設定シート!$B$11=基本設定シート!$C$8,"〈最終年度〉","")</f>
        <v/>
      </c>
      <c r="G20" s="175" t="str">
        <f>IF(基本設定シート!$B$11=基本設定シート!$C$7,"〈最終年度〉","")</f>
        <v/>
      </c>
      <c r="H20" s="175" t="str">
        <f>IF(基本設定シート!$B$11=基本設定シート!$C$6,"〈最終年度〉","")</f>
        <v>〈最終年度〉</v>
      </c>
      <c r="I20" s="176"/>
      <c r="J20" s="176"/>
      <c r="L20" s="173" t="s">
        <v>4325</v>
      </c>
      <c r="M20" s="173" t="s">
        <v>4326</v>
      </c>
      <c r="N20" s="173" t="s">
        <v>4327</v>
      </c>
      <c r="O20" s="172"/>
    </row>
    <row r="21" spans="1:15" hidden="1" outlineLevel="1">
      <c r="A21" s="170"/>
      <c r="B21" s="631" t="s">
        <v>4307</v>
      </c>
      <c r="C21" s="632" t="s">
        <v>4328</v>
      </c>
      <c r="D21" s="632"/>
      <c r="E21" s="178" t="e">
        <f>公表用シート!Y33</f>
        <v>#N/A</v>
      </c>
      <c r="F21" s="178" t="e">
        <f>公表用シート!Z33</f>
        <v>#N/A</v>
      </c>
      <c r="G21" s="178" t="str">
        <f>IFERROR(公表用シート!AA33,"")</f>
        <v/>
      </c>
      <c r="H21" s="178" t="str">
        <f>IFERROR(公表用シート!AB33,"")</f>
        <v/>
      </c>
      <c r="I21" s="173" t="s">
        <v>4329</v>
      </c>
      <c r="J21" s="633" t="str">
        <f>IF(I22="","",IF(I22&gt;=$L$21,$N$21,IF(AND(I22&gt;=$L$22,I22&lt;$M$22),$N$22,IF(AND(I22&gt;=$L$23,I22&lt;$M$23),$N$23,IF(AND(I22&gt;=$L$24,I22&lt;$M$24),$N$24,$N$25)))))</f>
        <v/>
      </c>
      <c r="L21" s="179">
        <v>0.04</v>
      </c>
      <c r="M21" s="179"/>
      <c r="N21" s="173">
        <v>50</v>
      </c>
      <c r="O21" s="172"/>
    </row>
    <row r="22" spans="1:15" ht="16.5" hidden="1" customHeight="1" outlineLevel="1">
      <c r="A22" s="170"/>
      <c r="B22" s="631"/>
      <c r="C22" s="632" t="s">
        <v>4330</v>
      </c>
      <c r="D22" s="632"/>
      <c r="E22" s="173" t="s">
        <v>4329</v>
      </c>
      <c r="F22" s="180" t="e">
        <f>IF(($E$21-F21)=0,0,IF($E$21=0,-1,($E$21-F21)/$E$21))</f>
        <v>#N/A</v>
      </c>
      <c r="G22" s="180" t="e">
        <f t="shared" ref="G22:H22" si="0">IF(($E$21-G21)=0,0,IF($E$21=0,-1,($E$21-G21)/$E$21))</f>
        <v>#N/A</v>
      </c>
      <c r="H22" s="180" t="e">
        <f t="shared" si="0"/>
        <v>#N/A</v>
      </c>
      <c r="I22" s="180" t="str">
        <f>IFERROR(IF(基本設定シート!$B$11=基本設定シート!$C$6,_xlfn.AGGREGATE(1,6,F22:H22),IF(基本設定シート!$B$11=基本設定シート!$C$7,_xlfn.AGGREGATE(1,6,F22:G22),IF(基本設定シート!$B$11=基本設定シート!$C$8,F22,""))),"")</f>
        <v/>
      </c>
      <c r="J22" s="634"/>
      <c r="L22" s="179">
        <v>0.03</v>
      </c>
      <c r="M22" s="179">
        <v>0.04</v>
      </c>
      <c r="N22" s="173">
        <v>40</v>
      </c>
      <c r="O22" s="172"/>
    </row>
    <row r="23" spans="1:15" ht="16.5" hidden="1" customHeight="1" outlineLevel="1">
      <c r="A23" s="170"/>
      <c r="L23" s="179">
        <v>0.02</v>
      </c>
      <c r="M23" s="179">
        <v>0.03</v>
      </c>
      <c r="N23" s="173">
        <v>30</v>
      </c>
      <c r="O23" s="172"/>
    </row>
    <row r="24" spans="1:15" ht="16.5" hidden="1" customHeight="1" outlineLevel="1">
      <c r="A24" s="170"/>
      <c r="L24" s="179">
        <v>0</v>
      </c>
      <c r="M24" s="179">
        <v>0.02</v>
      </c>
      <c r="N24" s="173">
        <v>20</v>
      </c>
      <c r="O24" s="172"/>
    </row>
    <row r="25" spans="1:15" ht="16.5" hidden="1" customHeight="1" outlineLevel="1">
      <c r="A25" s="170"/>
      <c r="L25" s="179"/>
      <c r="M25" s="179">
        <v>0</v>
      </c>
      <c r="N25" s="173">
        <v>0</v>
      </c>
      <c r="O25" s="172"/>
    </row>
    <row r="26" spans="1:15" ht="9" hidden="1" customHeight="1" outlineLevel="1">
      <c r="A26" s="170"/>
      <c r="O26" s="172"/>
    </row>
    <row r="27" spans="1:15" ht="18.75" hidden="1" outlineLevel="1">
      <c r="A27" s="170"/>
      <c r="B27" s="171" t="s">
        <v>4331</v>
      </c>
      <c r="O27" s="172"/>
    </row>
    <row r="28" spans="1:15" hidden="1" outlineLevel="1">
      <c r="A28" s="170"/>
      <c r="B28" s="150" t="s">
        <v>4332</v>
      </c>
      <c r="O28" s="172"/>
    </row>
    <row r="29" spans="1:15" hidden="1" outlineLevel="1">
      <c r="A29" s="170"/>
      <c r="B29" s="637" t="s">
        <v>4333</v>
      </c>
      <c r="C29" s="638"/>
      <c r="D29" s="638"/>
      <c r="E29" s="638"/>
      <c r="F29" s="639"/>
      <c r="G29" s="640" t="s">
        <v>4334</v>
      </c>
      <c r="O29" s="172"/>
    </row>
    <row r="30" spans="1:15" ht="33.75" hidden="1" customHeight="1" outlineLevel="1">
      <c r="A30" s="170"/>
      <c r="B30" s="643" t="s">
        <v>4335</v>
      </c>
      <c r="C30" s="644"/>
      <c r="D30" s="644"/>
      <c r="E30" s="645"/>
      <c r="F30" s="181" t="s">
        <v>4336</v>
      </c>
      <c r="G30" s="641"/>
      <c r="O30" s="172"/>
    </row>
    <row r="31" spans="1:15" ht="16.5" hidden="1" customHeight="1" outlineLevel="1">
      <c r="A31" s="170"/>
      <c r="B31" s="637" t="s">
        <v>4337</v>
      </c>
      <c r="C31" s="639"/>
      <c r="D31" s="173" t="s">
        <v>4338</v>
      </c>
      <c r="E31" s="174" t="s">
        <v>4307</v>
      </c>
      <c r="F31" s="182" t="s">
        <v>28</v>
      </c>
      <c r="G31" s="641"/>
      <c r="O31" s="172"/>
    </row>
    <row r="32" spans="1:15" ht="54.75" hidden="1" customHeight="1" outlineLevel="1">
      <c r="A32" s="170"/>
      <c r="B32" s="183" t="s">
        <v>4339</v>
      </c>
      <c r="C32" s="183" t="s">
        <v>4340</v>
      </c>
      <c r="D32" s="183" t="s">
        <v>4341</v>
      </c>
      <c r="E32" s="184"/>
      <c r="F32" s="185"/>
      <c r="G32" s="642"/>
      <c r="O32" s="172"/>
    </row>
    <row r="33" spans="1:15" ht="17.25" hidden="1" outlineLevel="1" thickBot="1">
      <c r="A33" s="170"/>
      <c r="B33" s="186" t="s">
        <v>4342</v>
      </c>
      <c r="C33" s="186" t="s">
        <v>4342</v>
      </c>
      <c r="D33" s="186" t="s">
        <v>4343</v>
      </c>
      <c r="E33" s="186" t="s">
        <v>4344</v>
      </c>
      <c r="F33" s="186" t="s">
        <v>4344</v>
      </c>
      <c r="G33" s="187" t="s">
        <v>4344</v>
      </c>
      <c r="O33" s="172"/>
    </row>
    <row r="34" spans="1:15" ht="17.25" hidden="1" outlineLevel="1" thickBot="1">
      <c r="A34" s="170"/>
      <c r="B34" s="188">
        <f>SUM('入力シート（2026年度提出用）'!AW26:BH26)/1000</f>
        <v>0</v>
      </c>
      <c r="C34" s="188" t="s">
        <v>27</v>
      </c>
      <c r="D34" s="173">
        <f>基本設定シート!D18</f>
        <v>0.42099999999999999</v>
      </c>
      <c r="E34" s="196">
        <f>SUM(B34:C34)*D34</f>
        <v>0</v>
      </c>
      <c r="F34" s="196">
        <f>SUM('入力シート（2026年度提出用）'!X23:X25,'入力シート（2026年度提出用）'!X27:X28)</f>
        <v>0</v>
      </c>
      <c r="G34" s="197">
        <f>ROUNDDOWN(SUM(E34:F34),1)</f>
        <v>0</v>
      </c>
      <c r="O34" s="172"/>
    </row>
    <row r="35" spans="1:15" hidden="1" outlineLevel="1">
      <c r="A35" s="170"/>
      <c r="O35" s="172"/>
    </row>
    <row r="36" spans="1:15" hidden="1" outlineLevel="1">
      <c r="A36" s="170"/>
      <c r="B36" s="631"/>
      <c r="C36" s="631"/>
      <c r="D36" s="631"/>
      <c r="E36" s="174">
        <f>基本設定シート!$B$11-1</f>
        <v>2025</v>
      </c>
      <c r="F36" s="174">
        <f>基本設定シート!$B$11</f>
        <v>2026</v>
      </c>
      <c r="G36" s="174">
        <f>IF(基本設定シート!$B$11=基本設定シート!$C$8,"",基本設定シート!$B$11+1)</f>
        <v>2027</v>
      </c>
      <c r="H36" s="174">
        <f>IF(OR(基本設定シート!$B$11=基本設定シート!$C$7,基本設定シート!$B$11=基本設定シート!$C$8),"",基本設定シート!$B$11+2)</f>
        <v>2028</v>
      </c>
      <c r="I36" s="174" t="s">
        <v>4322</v>
      </c>
      <c r="J36" s="174" t="s">
        <v>4305</v>
      </c>
      <c r="L36" s="631" t="s">
        <v>4323</v>
      </c>
      <c r="M36" s="631"/>
      <c r="N36" s="631"/>
      <c r="O36" s="172"/>
    </row>
    <row r="37" spans="1:15" hidden="1" outlineLevel="1">
      <c r="A37" s="170"/>
      <c r="B37" s="631"/>
      <c r="C37" s="631"/>
      <c r="D37" s="631"/>
      <c r="E37" s="175" t="s">
        <v>4324</v>
      </c>
      <c r="F37" s="175" t="str">
        <f>IF(基本設定シート!$B$11=基本設定シート!$C$8,"〈最終年度〉","")</f>
        <v/>
      </c>
      <c r="G37" s="175" t="str">
        <f>IF(基本設定シート!$B$11=基本設定シート!$C$7,"〈最終年度〉","")</f>
        <v/>
      </c>
      <c r="H37" s="175" t="str">
        <f>IF(基本設定シート!$B$11=基本設定シート!$C$6,"〈最終年度〉","")</f>
        <v>〈最終年度〉</v>
      </c>
      <c r="I37" s="176"/>
      <c r="J37" s="176"/>
      <c r="L37" s="173" t="s">
        <v>4325</v>
      </c>
      <c r="M37" s="173" t="s">
        <v>4326</v>
      </c>
      <c r="N37" s="173" t="s">
        <v>4327</v>
      </c>
      <c r="O37" s="172"/>
    </row>
    <row r="38" spans="1:15" hidden="1" outlineLevel="1">
      <c r="A38" s="170"/>
      <c r="B38" s="631" t="s">
        <v>4307</v>
      </c>
      <c r="C38" s="632" t="s">
        <v>4328</v>
      </c>
      <c r="D38" s="632"/>
      <c r="E38" s="178">
        <f>G34</f>
        <v>0</v>
      </c>
      <c r="F38" s="178" t="e">
        <f>F21</f>
        <v>#N/A</v>
      </c>
      <c r="G38" s="178" t="str">
        <f>G21</f>
        <v/>
      </c>
      <c r="H38" s="178" t="str">
        <f>H21</f>
        <v/>
      </c>
      <c r="I38" s="173" t="s">
        <v>4329</v>
      </c>
      <c r="J38" s="633" t="str">
        <f>IF(I39="","",IF(I39&gt;=$L$38,$N$38,IF(AND(I39&gt;=$L$39,I39&lt;$M$39),$N$39,IF(AND(I39&gt;=$L$40,I39&lt;$M$40),$N$40,IF(AND(I39&gt;=$L$41,I39&lt;$M$41),$N$41,$N$42)))))</f>
        <v/>
      </c>
      <c r="L38" s="179">
        <v>0.8</v>
      </c>
      <c r="M38" s="179"/>
      <c r="N38" s="173">
        <v>50</v>
      </c>
      <c r="O38" s="172"/>
    </row>
    <row r="39" spans="1:15" hidden="1" outlineLevel="1">
      <c r="A39" s="170"/>
      <c r="B39" s="631"/>
      <c r="C39" s="632" t="s">
        <v>4330</v>
      </c>
      <c r="D39" s="632"/>
      <c r="E39" s="173" t="s">
        <v>4329</v>
      </c>
      <c r="F39" s="180" t="e">
        <f>IF(($E$38-F38)=0,0,IF($E$38=0,-1,($E$38-F38)/$E$38))</f>
        <v>#N/A</v>
      </c>
      <c r="G39" s="180" t="e">
        <f t="shared" ref="G39:H39" si="1">IF(($E$38-G38)=0,0,IF($E$38=0,-1,($E$38-G38)/$E$38))</f>
        <v>#VALUE!</v>
      </c>
      <c r="H39" s="180" t="e">
        <f t="shared" si="1"/>
        <v>#VALUE!</v>
      </c>
      <c r="I39" s="180" t="str">
        <f>IFERROR(IF(基本設定シート!$B$11=基本設定シート!$C$6,_xlfn.AGGREGATE(1,6,F39:H39),IF(基本設定シート!$B$11=基本設定シート!$C$7,_xlfn.AGGREGATE(1,6,F39:G39),IF(基本設定シート!$B$11=基本設定シート!$C$8,F39,""))),"")</f>
        <v/>
      </c>
      <c r="J39" s="634"/>
      <c r="L39" s="179">
        <v>0.6</v>
      </c>
      <c r="M39" s="179">
        <v>0.8</v>
      </c>
      <c r="N39" s="173">
        <v>40</v>
      </c>
      <c r="O39" s="172"/>
    </row>
    <row r="40" spans="1:15" hidden="1" outlineLevel="1">
      <c r="A40" s="170"/>
      <c r="L40" s="179">
        <v>0.4</v>
      </c>
      <c r="M40" s="179">
        <v>0.6</v>
      </c>
      <c r="N40" s="173">
        <v>30</v>
      </c>
      <c r="O40" s="172"/>
    </row>
    <row r="41" spans="1:15" hidden="1" outlineLevel="1">
      <c r="A41" s="170"/>
      <c r="L41" s="179">
        <v>0.2</v>
      </c>
      <c r="M41" s="179">
        <v>0.4</v>
      </c>
      <c r="N41" s="173">
        <v>20</v>
      </c>
      <c r="O41" s="172"/>
    </row>
    <row r="42" spans="1:15" hidden="1" outlineLevel="1">
      <c r="A42" s="170"/>
      <c r="L42" s="179"/>
      <c r="M42" s="179">
        <v>0.2</v>
      </c>
      <c r="N42" s="173">
        <v>0</v>
      </c>
      <c r="O42" s="172"/>
    </row>
    <row r="43" spans="1:15" hidden="1" outlineLevel="1">
      <c r="A43" s="189"/>
      <c r="B43" s="190"/>
      <c r="C43" s="190"/>
      <c r="D43" s="190"/>
      <c r="E43" s="190"/>
      <c r="F43" s="190"/>
      <c r="G43" s="190"/>
      <c r="H43" s="190"/>
      <c r="I43" s="190"/>
      <c r="J43" s="190"/>
      <c r="K43" s="190"/>
      <c r="L43" s="190"/>
      <c r="M43" s="190"/>
      <c r="N43" s="190"/>
      <c r="O43" s="191"/>
    </row>
    <row r="44" spans="1:15" ht="19.5" hidden="1" outlineLevel="1">
      <c r="A44" s="166"/>
      <c r="B44" s="192" t="s">
        <v>4345</v>
      </c>
      <c r="C44" s="193"/>
      <c r="D44" s="193"/>
      <c r="E44" s="193"/>
      <c r="F44" s="193"/>
      <c r="G44" s="193"/>
      <c r="H44" s="193"/>
      <c r="I44" s="193"/>
      <c r="J44" s="193"/>
      <c r="K44" s="193"/>
      <c r="L44" s="193"/>
      <c r="M44" s="193"/>
      <c r="N44" s="193"/>
      <c r="O44" s="169"/>
    </row>
    <row r="45" spans="1:15" ht="18.75" hidden="1" outlineLevel="1">
      <c r="A45" s="170"/>
      <c r="B45" s="171" t="s">
        <v>4346</v>
      </c>
      <c r="H45" s="171" t="s">
        <v>4347</v>
      </c>
      <c r="O45" s="172"/>
    </row>
    <row r="46" spans="1:15" hidden="1" outlineLevel="1">
      <c r="A46" s="170"/>
      <c r="B46" s="177"/>
      <c r="C46" s="173" t="s">
        <v>4348</v>
      </c>
      <c r="D46" s="173" t="s">
        <v>4349</v>
      </c>
      <c r="E46" s="173" t="s">
        <v>4305</v>
      </c>
      <c r="H46" s="173"/>
      <c r="I46" s="173" t="s">
        <v>4348</v>
      </c>
      <c r="J46" s="173" t="s">
        <v>4305</v>
      </c>
      <c r="L46" s="631" t="s">
        <v>4323</v>
      </c>
      <c r="M46" s="631"/>
      <c r="O46" s="172"/>
    </row>
    <row r="47" spans="1:15" hidden="1" outlineLevel="1">
      <c r="A47" s="170"/>
      <c r="B47" s="173" t="str">
        <f>基本設定シート!$B$11&amp;"年度"</f>
        <v>2026年度</v>
      </c>
      <c r="C47" s="194">
        <f>'入力シート（2029年度提出用）'!AM87</f>
        <v>0</v>
      </c>
      <c r="D47" s="194">
        <f>'入力シート（2029年度提出用）'!AQ87</f>
        <v>16</v>
      </c>
      <c r="E47" s="173">
        <f>INT($E$6*(C47/D47))</f>
        <v>0</v>
      </c>
      <c r="H47" s="173" t="str">
        <f>基本設定シート!$B$11&amp;"年度"</f>
        <v>2026年度</v>
      </c>
      <c r="I47" s="194">
        <f>'入力シート（2029年度提出用）'!AM103</f>
        <v>0</v>
      </c>
      <c r="J47" s="173">
        <f>I47*$M$47</f>
        <v>0</v>
      </c>
      <c r="L47" s="173" t="s">
        <v>4348</v>
      </c>
      <c r="M47" s="173">
        <v>2</v>
      </c>
      <c r="O47" s="172"/>
    </row>
    <row r="48" spans="1:15" hidden="1" outlineLevel="1">
      <c r="A48" s="170"/>
      <c r="B48" s="173" t="str">
        <f>IF(基本設定シート!$B$11=基本設定シート!$C$8,"",基本設定シート!$B$11+1&amp;"年度")</f>
        <v>2027年度</v>
      </c>
      <c r="C48" s="194">
        <f>'入力シート（2029年度提出用）'!AM88</f>
        <v>0</v>
      </c>
      <c r="D48" s="194">
        <f>'入力シート（2029年度提出用）'!AQ88</f>
        <v>16</v>
      </c>
      <c r="E48" s="173" t="str">
        <f>IF(基本設定シート!$B$11=基本設定シート!$C$8,"",IF(SUM('入力シート（2029年度提出用）'!AM88:AP88)&lt;&gt;'入力シート（2029年度提出用）'!C100,"",INT($E$6*(C48/D48))))</f>
        <v/>
      </c>
      <c r="H48" s="173" t="str">
        <f>IF(基本設定シート!$B$11=基本設定シート!$C$8,"",基本設定シート!$B$11+1&amp;"年度")</f>
        <v>2027年度</v>
      </c>
      <c r="I48" s="194">
        <f>'入力シート（2029年度提出用）'!AM104</f>
        <v>0</v>
      </c>
      <c r="J48" s="173" t="str">
        <f>IF(基本設定シート!$B$11=基本設定シート!$C$8,"",IF(SUM('入力シート（2029年度提出用）'!AM88:AP88)&lt;&gt;'入力シート（2029年度提出用）'!C100,"",I48*$M$47))</f>
        <v/>
      </c>
      <c r="O48" s="172"/>
    </row>
    <row r="49" spans="1:15" hidden="1" outlineLevel="1">
      <c r="A49" s="170"/>
      <c r="B49" s="173" t="str">
        <f>IF(OR(基本設定シート!$B$11=基本設定シート!$C$7,基本設定シート!$B$11=基本設定シート!$C$8),"",基本設定シート!$B$11+2&amp;"年度")</f>
        <v>2028年度</v>
      </c>
      <c r="C49" s="194">
        <f>'入力シート（2029年度提出用）'!AM89</f>
        <v>0</v>
      </c>
      <c r="D49" s="194">
        <f>'入力シート（2029年度提出用）'!AQ89</f>
        <v>16</v>
      </c>
      <c r="E49" s="173" t="str">
        <f>IF(OR(基本設定シート!$B$11=基本設定シート!$C$7,基本設定シート!$B$11=基本設定シート!$C$8),"",IF(SUM('入力シート（2029年度提出用）'!AM89:AP89)&lt;&gt;'入力シート（2029年度提出用）'!C100,"",INT($E$6*(C49/D49))))</f>
        <v/>
      </c>
      <c r="H49" s="173" t="str">
        <f>IF(OR(基本設定シート!$B$11=基本設定シート!$C$7,基本設定シート!$B$11=基本設定シート!$C$8),"",基本設定シート!$B$11+2&amp;"年度")</f>
        <v>2028年度</v>
      </c>
      <c r="I49" s="194">
        <f>'入力シート（2029年度提出用）'!AM105</f>
        <v>0</v>
      </c>
      <c r="J49" s="173" t="str">
        <f>IF(OR(基本設定シート!$B$11=基本設定シート!$C$7,基本設定シート!$B$11=基本設定シート!$C$8),"",IF(SUM('入力シート（2029年度提出用）'!AM89:AP89)&lt;&gt;'入力シート（2029年度提出用）'!C100,"",I49*$M$47))</f>
        <v/>
      </c>
      <c r="O49" s="172"/>
    </row>
    <row r="50" spans="1:15" ht="9" hidden="1" customHeight="1" outlineLevel="1">
      <c r="A50" s="189"/>
      <c r="B50" s="195"/>
      <c r="C50" s="190"/>
      <c r="D50" s="190"/>
      <c r="E50" s="190"/>
      <c r="F50" s="190"/>
      <c r="G50" s="190"/>
      <c r="H50" s="190"/>
      <c r="I50" s="190"/>
      <c r="J50" s="190"/>
      <c r="K50" s="190"/>
      <c r="L50" s="190"/>
      <c r="M50" s="190"/>
      <c r="N50" s="190"/>
      <c r="O50" s="191"/>
    </row>
    <row r="51" spans="1:15" collapsed="1"/>
  </sheetData>
  <sheetProtection algorithmName="SHA-512" hashValue="KdoJOPMF/5nEMGBWFazxN9uFsLqtCTFLBcYX6l9TQcmvIsNrp9wY1Mv9k5Gj2KI7Eaco01Q8+FUuWkZNZo6r0w==" saltValue="laAc07HAXHyUCCUQUSESHg==" spinCount="100000" sheet="1" objects="1" scenarios="1" selectLockedCells="1"/>
  <mergeCells count="26">
    <mergeCell ref="B8:D8"/>
    <mergeCell ref="B4:D4"/>
    <mergeCell ref="C5:D5"/>
    <mergeCell ref="B6:B7"/>
    <mergeCell ref="C6:D6"/>
    <mergeCell ref="C7:D7"/>
    <mergeCell ref="L36:N36"/>
    <mergeCell ref="H9:I9"/>
    <mergeCell ref="B10:C10"/>
    <mergeCell ref="D10:D11"/>
    <mergeCell ref="B19:D20"/>
    <mergeCell ref="L19:N19"/>
    <mergeCell ref="B21:B22"/>
    <mergeCell ref="C21:D21"/>
    <mergeCell ref="J21:J22"/>
    <mergeCell ref="C22:D22"/>
    <mergeCell ref="B29:F29"/>
    <mergeCell ref="G29:G32"/>
    <mergeCell ref="B30:E30"/>
    <mergeCell ref="B31:C31"/>
    <mergeCell ref="B36:D37"/>
    <mergeCell ref="B38:B39"/>
    <mergeCell ref="C38:D38"/>
    <mergeCell ref="J38:J39"/>
    <mergeCell ref="C39:D39"/>
    <mergeCell ref="L46:M46"/>
  </mergeCells>
  <phoneticPr fontId="4"/>
  <pageMargins left="0.70866141732283472" right="0.70866141732283472" top="0.74803149606299213" bottom="0.74803149606299213" header="0.31496062992125984" footer="0.31496062992125984"/>
  <pageSetup paperSize="9" scale="9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4259-AEC1-4227-AD7A-1CBC32AF9198}">
  <sheetPr codeName="Sheet8"/>
  <dimension ref="A1:I27"/>
  <sheetViews>
    <sheetView showGridLines="0" zoomScale="115" zoomScaleNormal="115" workbookViewId="0">
      <pane ySplit="2" topLeftCell="A3" activePane="bottomLeft" state="frozen"/>
      <selection activeCell="F8" sqref="F8:O8"/>
      <selection pane="bottomLeft" sqref="A1:XFD1048576"/>
    </sheetView>
  </sheetViews>
  <sheetFormatPr defaultColWidth="8.625" defaultRowHeight="18.75"/>
  <cols>
    <col min="1" max="1" width="9.5" style="13" customWidth="1"/>
    <col min="2" max="2" width="10.125" style="13" customWidth="1"/>
    <col min="3" max="3" width="8.625" style="13" customWidth="1"/>
    <col min="4" max="4" width="10.375" style="13" customWidth="1"/>
    <col min="5" max="5" width="12.875" style="13" customWidth="1"/>
    <col min="6" max="6" width="8.625" style="13"/>
    <col min="7" max="7" width="8.625" style="13" customWidth="1"/>
    <col min="8" max="16384" width="8.625" style="13"/>
  </cols>
  <sheetData>
    <row r="1" spans="1:9">
      <c r="A1" s="206" t="s">
        <v>42</v>
      </c>
    </row>
    <row r="2" spans="1:9">
      <c r="A2" s="206" t="s">
        <v>4175</v>
      </c>
    </row>
    <row r="3" spans="1:9" ht="6.95" customHeight="1"/>
    <row r="4" spans="1:9">
      <c r="A4" s="15" t="s">
        <v>43</v>
      </c>
    </row>
    <row r="5" spans="1:9">
      <c r="A5" s="207" t="s">
        <v>36</v>
      </c>
      <c r="B5" s="208">
        <v>3</v>
      </c>
      <c r="C5" s="598" t="s">
        <v>35</v>
      </c>
      <c r="D5" s="658"/>
      <c r="E5" s="28"/>
    </row>
    <row r="6" spans="1:9">
      <c r="A6" s="203"/>
      <c r="B6" s="204" t="s">
        <v>37</v>
      </c>
      <c r="C6" s="47">
        <f>2020+($B$5-1)*3</f>
        <v>2026</v>
      </c>
      <c r="D6" s="47" t="s">
        <v>41</v>
      </c>
      <c r="E6" s="28"/>
    </row>
    <row r="7" spans="1:9">
      <c r="A7" s="203"/>
      <c r="B7" s="204" t="s">
        <v>38</v>
      </c>
      <c r="C7" s="47">
        <f>C6+1</f>
        <v>2027</v>
      </c>
      <c r="D7" s="47" t="s">
        <v>41</v>
      </c>
      <c r="E7" s="28"/>
    </row>
    <row r="8" spans="1:9">
      <c r="A8" s="202"/>
      <c r="B8" s="204" t="s">
        <v>39</v>
      </c>
      <c r="C8" s="47">
        <f>C7+1</f>
        <v>2028</v>
      </c>
      <c r="D8" s="47" t="s">
        <v>41</v>
      </c>
      <c r="E8" s="28"/>
    </row>
    <row r="10" spans="1:9">
      <c r="A10" s="15" t="s">
        <v>44</v>
      </c>
      <c r="I10" s="29" t="s">
        <v>4171</v>
      </c>
    </row>
    <row r="11" spans="1:9">
      <c r="A11" s="207" t="s">
        <v>40</v>
      </c>
      <c r="B11" s="209">
        <v>2026</v>
      </c>
      <c r="C11" s="47" t="s">
        <v>41</v>
      </c>
      <c r="D11" s="43"/>
      <c r="E11" s="28"/>
      <c r="F11" s="206" t="str">
        <f>IF(OR(B11=C6,B11=C7,B11=C8),"","←更新してください！")</f>
        <v/>
      </c>
      <c r="I11" s="39">
        <f>IF(B11=C6,10,IF(B11=C7,20,IF(B11=C8,30,"")))</f>
        <v>10</v>
      </c>
    </row>
    <row r="12" spans="1:9">
      <c r="A12" s="210"/>
      <c r="B12" s="204" t="s">
        <v>4160</v>
      </c>
      <c r="C12" s="47">
        <f>B11</f>
        <v>2026</v>
      </c>
      <c r="D12" s="47" t="s">
        <v>4164</v>
      </c>
      <c r="E12" s="28"/>
      <c r="F12" s="15"/>
      <c r="I12" s="39">
        <f>I11+1</f>
        <v>11</v>
      </c>
    </row>
    <row r="13" spans="1:9">
      <c r="A13" s="210"/>
      <c r="B13" s="204" t="s">
        <v>4161</v>
      </c>
      <c r="C13" s="47">
        <f>B11+1</f>
        <v>2027</v>
      </c>
      <c r="D13" s="47" t="s">
        <v>41</v>
      </c>
      <c r="E13" s="28"/>
      <c r="F13" s="15"/>
      <c r="I13" s="39">
        <f>I11+2</f>
        <v>12</v>
      </c>
    </row>
    <row r="14" spans="1:9">
      <c r="A14" s="210"/>
      <c r="B14" s="204" t="s">
        <v>4162</v>
      </c>
      <c r="C14" s="47">
        <f>IF($B$11=$C$8,"",B11+2)</f>
        <v>2028</v>
      </c>
      <c r="D14" s="47" t="s">
        <v>41</v>
      </c>
      <c r="E14" s="28"/>
      <c r="F14" s="15"/>
      <c r="I14" s="39">
        <f>IF(C14="","",I11+3)</f>
        <v>13</v>
      </c>
    </row>
    <row r="15" spans="1:9">
      <c r="A15" s="211"/>
      <c r="B15" s="204" t="s">
        <v>4163</v>
      </c>
      <c r="C15" s="47">
        <f>IF(OR($B$11=$C$7,$B$11=$C$8),"",B11+3)</f>
        <v>2029</v>
      </c>
      <c r="D15" s="47" t="s">
        <v>41</v>
      </c>
      <c r="E15" s="28"/>
      <c r="F15" s="15"/>
      <c r="I15" s="39">
        <f>IF(C15="","",I11+4)</f>
        <v>14</v>
      </c>
    </row>
    <row r="17" spans="1:7">
      <c r="A17" s="15" t="s">
        <v>45</v>
      </c>
    </row>
    <row r="18" spans="1:7">
      <c r="A18" s="481" t="s">
        <v>4234</v>
      </c>
      <c r="B18" s="481"/>
      <c r="C18" s="481"/>
      <c r="D18" s="212">
        <v>0.42099999999999999</v>
      </c>
      <c r="E18" s="28" t="s">
        <v>4301</v>
      </c>
    </row>
    <row r="20" spans="1:7">
      <c r="A20" s="15" t="s">
        <v>4049</v>
      </c>
    </row>
    <row r="21" spans="1:7">
      <c r="A21" s="481" t="s">
        <v>4264</v>
      </c>
      <c r="B21" s="481"/>
      <c r="C21" s="481"/>
      <c r="D21" s="212">
        <v>0.53100000000000003</v>
      </c>
      <c r="E21" s="28" t="s">
        <v>4265</v>
      </c>
    </row>
    <row r="22" spans="1:7" ht="19.5">
      <c r="A22" s="213" t="s">
        <v>4266</v>
      </c>
      <c r="B22" s="213"/>
      <c r="C22" s="213"/>
      <c r="D22" s="214" t="s">
        <v>4267</v>
      </c>
      <c r="E22" s="213"/>
      <c r="F22" s="213"/>
      <c r="G22" s="213"/>
    </row>
    <row r="24" spans="1:7">
      <c r="A24" s="15" t="s">
        <v>4049</v>
      </c>
    </row>
    <row r="25" spans="1:7">
      <c r="A25" s="481" t="s">
        <v>4047</v>
      </c>
      <c r="B25" s="481"/>
      <c r="C25" s="481"/>
      <c r="D25" s="212">
        <f>1000/458</f>
        <v>2.1834061135371181</v>
      </c>
      <c r="E25" s="28" t="s">
        <v>4048</v>
      </c>
    </row>
    <row r="26" spans="1:7">
      <c r="A26" s="13" t="s">
        <v>4151</v>
      </c>
    </row>
    <row r="27" spans="1:7">
      <c r="B27" s="13" t="s">
        <v>4152</v>
      </c>
    </row>
  </sheetData>
  <sheetProtection algorithmName="SHA-512" hashValue="H6K6ejsdqxem5SUjoQT9kvH6ZAALC7m8VZKzWwcyOQ5OsGDfhGQ7/DngHyciYRbP6t96cjBzU8XSHxkKw7L7Dw==" saltValue="HkYfUhiv7b46CZXNBHuU0g==" spinCount="100000" sheet="1" objects="1" scenarios="1" selectLockedCells="1"/>
  <mergeCells count="4">
    <mergeCell ref="C5:D5"/>
    <mergeCell ref="A18:C18"/>
    <mergeCell ref="A21:C21"/>
    <mergeCell ref="A25:C25"/>
  </mergeCells>
  <phoneticPr fontId="4"/>
  <dataValidations count="1">
    <dataValidation type="list" allowBlank="1" showInputMessage="1" showErrorMessage="1" sqref="B11" xr:uid="{7E2A2C0A-A88A-4F38-8E8A-40D9186B9277}">
      <formula1>$C$6:$C$8</formula1>
    </dataValidation>
  </dataValidations>
  <hyperlinks>
    <hyperlink ref="D22" r:id="rId1" xr:uid="{CD40B2E4-4422-4C62-829E-A4EFE2FADB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B14A-B222-47B6-8278-B3BB1EFFFECB}">
  <sheetPr codeName="Sheet12"/>
  <dimension ref="A1:T5"/>
  <sheetViews>
    <sheetView zoomScale="70" zoomScaleNormal="70" workbookViewId="0">
      <pane xSplit="1" topLeftCell="B1" activePane="topRight" state="frozen"/>
      <selection pane="topRight" sqref="A1:XFD1048576"/>
    </sheetView>
  </sheetViews>
  <sheetFormatPr defaultRowHeight="18.75"/>
  <cols>
    <col min="1" max="1" width="38.25" style="13" customWidth="1"/>
    <col min="2" max="2" width="40.625" style="13" customWidth="1"/>
    <col min="3" max="3" width="34.25" style="13" customWidth="1"/>
    <col min="4" max="4" width="16" style="13" customWidth="1"/>
    <col min="5" max="5" width="48.75" style="13" customWidth="1"/>
    <col min="6" max="6" width="15.875" style="13" customWidth="1"/>
    <col min="7" max="7" width="52.125" style="13" customWidth="1"/>
    <col min="8" max="8" width="36.25" style="13" customWidth="1"/>
    <col min="9" max="9" width="18.125" style="13" customWidth="1"/>
    <col min="10" max="10" width="31" style="13" customWidth="1"/>
    <col min="11" max="11" width="16.625" style="13" customWidth="1"/>
    <col min="12" max="12" width="26" style="13" customWidth="1"/>
    <col min="13" max="20" width="28.75" style="13" customWidth="1"/>
    <col min="21" max="16384" width="9" style="13"/>
  </cols>
  <sheetData>
    <row r="1" spans="1:20" ht="28.5">
      <c r="A1" s="215" t="s">
        <v>4237</v>
      </c>
    </row>
    <row r="2" spans="1:20" s="217" customFormat="1" ht="38.25" customHeight="1">
      <c r="A2" s="660" t="s">
        <v>4238</v>
      </c>
      <c r="B2" s="660" t="s">
        <v>4242</v>
      </c>
      <c r="C2" s="660"/>
      <c r="D2" s="660"/>
      <c r="E2" s="660"/>
      <c r="F2" s="660" t="s">
        <v>47</v>
      </c>
      <c r="G2" s="660"/>
      <c r="H2" s="660"/>
      <c r="I2" s="660"/>
      <c r="J2" s="660"/>
      <c r="K2" s="660"/>
      <c r="L2" s="216" t="str">
        <f>"第"&amp;DBCS(基本設定シート!B5)&amp;"計画期間"</f>
        <v>第３計画期間</v>
      </c>
      <c r="M2" s="659" t="s">
        <v>4248</v>
      </c>
      <c r="N2" s="659"/>
      <c r="O2" s="659"/>
      <c r="P2" s="659"/>
      <c r="Q2" s="659"/>
      <c r="R2" s="659"/>
      <c r="S2" s="659"/>
      <c r="T2" s="659"/>
    </row>
    <row r="3" spans="1:20" s="217" customFormat="1" ht="28.5" customHeight="1">
      <c r="A3" s="660"/>
      <c r="B3" s="660" t="s">
        <v>4142</v>
      </c>
      <c r="C3" s="660" t="s">
        <v>4239</v>
      </c>
      <c r="D3" s="660" t="s">
        <v>4240</v>
      </c>
      <c r="E3" s="660" t="s">
        <v>4241</v>
      </c>
      <c r="F3" s="660" t="s">
        <v>4240</v>
      </c>
      <c r="G3" s="660" t="s">
        <v>4241</v>
      </c>
      <c r="H3" s="660" t="s">
        <v>4243</v>
      </c>
      <c r="I3" s="660" t="s">
        <v>4244</v>
      </c>
      <c r="J3" s="660" t="s">
        <v>4245</v>
      </c>
      <c r="K3" s="660" t="s">
        <v>4246</v>
      </c>
      <c r="L3" s="660" t="s">
        <v>40</v>
      </c>
      <c r="M3" s="216" t="str">
        <f>基本設定シート!C6-1&amp;"年度（令和"&amp;IF(RIGHT(基本設定シート!C6-1-18,2)=1,"元",RIGHT(基本設定シート!C6-1-18,2))&amp;"年度）"</f>
        <v>2025年度（令和07年度）</v>
      </c>
      <c r="N3" s="216" t="str">
        <f>基本設定シート!C6&amp;"年度（令和"&amp;IF(RIGHT(基本設定シート!C6-18,2)=1,"元",RIGHT(基本設定シート!C6-18,2))&amp;"年度）"</f>
        <v>2026年度（令和08年度）</v>
      </c>
      <c r="O3" s="218" t="str">
        <f>基本設定シート!C7-1&amp;"年度（令和"&amp;IF(RIGHT(基本設定シート!C7-1-18,2)=1,"元",RIGHT(基本設定シート!C7-1-18,2))&amp;"年度）"</f>
        <v>2026年度（令和08年度）</v>
      </c>
      <c r="P3" s="218" t="str">
        <f>基本設定シート!C7&amp;"年度（令和"&amp;IF(RIGHT(基本設定シート!C7-18,2)=1,"元",RIGHT(基本設定シート!C7-18,2))&amp;"年度）"</f>
        <v>2027年度（令和09年度）</v>
      </c>
      <c r="Q3" s="219" t="str">
        <f>基本設定シート!C8-1&amp;"年度（令和"&amp;IF(RIGHT(基本設定シート!C8-1-18,2)=1,"元",RIGHT(基本設定シート!C8-1-18,2))&amp;"年度）"</f>
        <v>2027年度（令和09年度）</v>
      </c>
      <c r="R3" s="219" t="str">
        <f>基本設定シート!C8&amp;"年度（令和"&amp;IF(RIGHT(基本設定シート!C8-18,2)=1,"元",RIGHT(基本設定シート!C8-18,2))&amp;"年度）"</f>
        <v>2028年度（令和10年度）</v>
      </c>
      <c r="S3" s="220" t="str">
        <f>基本設定シート!C8&amp;"年度（令和"&amp;IF(RIGHT(基本設定シート!C8-18,2)=1,"元",RIGHT(基本設定シート!C8-18,2))&amp;"年度）"</f>
        <v>2028年度（令和10年度）</v>
      </c>
      <c r="T3" s="220" t="str">
        <f>基本設定シート!C8+1&amp;"年度（令和"&amp;IF(RIGHT(基本設定シート!C8+1-18,2)=1,"元",RIGHT(基本設定シート!C8+1-18,2))&amp;"年度）"</f>
        <v>2029年度（令和11年度）</v>
      </c>
    </row>
    <row r="4" spans="1:20" s="225" customFormat="1" ht="73.5" customHeight="1">
      <c r="A4" s="660"/>
      <c r="B4" s="660"/>
      <c r="C4" s="660"/>
      <c r="D4" s="660"/>
      <c r="E4" s="660"/>
      <c r="F4" s="660"/>
      <c r="G4" s="660"/>
      <c r="H4" s="660"/>
      <c r="I4" s="660"/>
      <c r="J4" s="660"/>
      <c r="K4" s="660"/>
      <c r="L4" s="660"/>
      <c r="M4" s="221" t="s">
        <v>4247</v>
      </c>
      <c r="N4" s="221" t="s">
        <v>4249</v>
      </c>
      <c r="O4" s="222" t="s">
        <v>4247</v>
      </c>
      <c r="P4" s="222" t="s">
        <v>4249</v>
      </c>
      <c r="Q4" s="223" t="s">
        <v>4247</v>
      </c>
      <c r="R4" s="223" t="s">
        <v>4249</v>
      </c>
      <c r="S4" s="224" t="s">
        <v>4247</v>
      </c>
      <c r="T4" s="224" t="s">
        <v>4249</v>
      </c>
    </row>
    <row r="5" spans="1:20" s="231" customFormat="1" ht="45.75" customHeight="1">
      <c r="A5" s="226" t="str">
        <f>'入力シート（2029年度提出用）'!F8</f>
        <v/>
      </c>
      <c r="B5" s="226" t="str">
        <f>'入力シート（2029年度提出用）'!P8</f>
        <v/>
      </c>
      <c r="C5" s="227" t="str">
        <f>'入力シート（2029年度提出用）'!P12</f>
        <v/>
      </c>
      <c r="D5" s="227" t="str">
        <f>TEXT('入力シート（2029年度提出用）'!Q10,"000")&amp;"-"&amp;TEXT('入力シート（2029年度提出用）'!S10,"0000")</f>
        <v>-</v>
      </c>
      <c r="E5" s="226" t="str">
        <f>'入力シート（2029年度提出用）'!P11</f>
        <v/>
      </c>
      <c r="F5" s="227" t="str">
        <f>TEXT('入力シート（2029年度提出用）'!Z10,"000")&amp;"-"&amp;TEXT('入力シート（2029年度提出用）'!AB10,"0000")</f>
        <v>-</v>
      </c>
      <c r="G5" s="226" t="str">
        <f>'入力シート（2029年度提出用）'!Y11</f>
        <v/>
      </c>
      <c r="H5" s="226" t="str">
        <f>'入力シート（2029年度提出用）'!Y8</f>
        <v/>
      </c>
      <c r="I5" s="226" t="str">
        <f>'入力シート（2029年度提出用）'!Y12</f>
        <v/>
      </c>
      <c r="J5" s="227" t="str">
        <f>'入力シート（2029年度提出用）'!Y14</f>
        <v/>
      </c>
      <c r="K5" s="228" t="str">
        <f>'入力シート（2029年度提出用）'!Y13</f>
        <v/>
      </c>
      <c r="L5" s="227">
        <f>基本設定シート!B11</f>
        <v>2026</v>
      </c>
      <c r="M5" s="229" t="str">
        <f>IF(基本設定シート!B11=基本設定シート!C6,'入力シート（2026年度提出用）'!X29,"-")</f>
        <v/>
      </c>
      <c r="N5" s="230">
        <f>IF(基本設定シート!B11=基本設定シート!C6,'入力シート（2026年度提出用）'!M61/100,"-")</f>
        <v>0</v>
      </c>
      <c r="O5" s="229" t="str">
        <f>IF(基本設定シート!B11=基本設定シート!C6,'入力シート（2027年度提出用）'!X29,IF(基本設定シート!B11=基本設定シート!C7,'入力シート（2026年度提出用）'!X29,"-"))</f>
        <v/>
      </c>
      <c r="P5" s="230">
        <f>IF(基本設定シート!B11=基本設定シート!C6,'入力シート（2027年度提出用）'!M61/100,IF(基本設定シート!B11=基本設定シート!C7,'入力シート（2026年度提出用）'!M61/100,"-"))</f>
        <v>0</v>
      </c>
      <c r="Q5" s="229" t="str">
        <f>IF(OR(基本設定シート!B11=基本設定シート!C6,基本設定シート!B11=基本設定シート!C7),'入力シート（2028年度提出用）'!X29,IF(基本設定シート!B11=基本設定シート!C8,'入力シート（2026年度提出用）'!X29,"-"))</f>
        <v/>
      </c>
      <c r="R5" s="230">
        <f>IF(OR(基本設定シート!B11=基本設定シート!C6,基本設定シート!B11=基本設定シート!C7),'入力シート（2028年度提出用）'!M61/100,IF(基本設定シート!B11=基本設定シート!C8,'入力シート（2026年度提出用）'!M61/100,"-"))</f>
        <v>0</v>
      </c>
      <c r="S5" s="229" t="str">
        <f>'入力シート（2029年度提出用）'!X29</f>
        <v/>
      </c>
      <c r="T5" s="230">
        <f>'入力シート（2029年度提出用）'!M61/100</f>
        <v>0</v>
      </c>
    </row>
  </sheetData>
  <sheetProtection algorithmName="SHA-512" hashValue="GR9Yyxy2buD56QMwNvZyUKPDbOe9tx0a+eCaJ83Rl+DVh4pefjCnr2ZT1vX8hT/VdTKxZy1DwwvK++l5PaeaFw==" saltValue="YUF2jf6AaUnmDoQb98cTaw==" spinCount="100000" sheet="1" objects="1" scenarios="1" selectLockedCells="1"/>
  <mergeCells count="15">
    <mergeCell ref="M2:T2"/>
    <mergeCell ref="B2:E2"/>
    <mergeCell ref="A2:A4"/>
    <mergeCell ref="F2:K2"/>
    <mergeCell ref="L3:L4"/>
    <mergeCell ref="K3:K4"/>
    <mergeCell ref="J3:J4"/>
    <mergeCell ref="I3:I4"/>
    <mergeCell ref="H3:H4"/>
    <mergeCell ref="G3:G4"/>
    <mergeCell ref="F3:F4"/>
    <mergeCell ref="E3:E4"/>
    <mergeCell ref="D3:D4"/>
    <mergeCell ref="C3:C4"/>
    <mergeCell ref="B3:B4"/>
  </mergeCells>
  <phoneticPr fontId="4"/>
  <conditionalFormatting sqref="M5:T5">
    <cfRule type="expression" dxfId="0" priority="1">
      <formula>M5="-"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70C2-2159-4A0F-B915-70B22C610E1A}">
  <sheetPr codeName="Sheet10"/>
  <dimension ref="A1:K1460"/>
  <sheetViews>
    <sheetView zoomScale="85" zoomScaleNormal="85" workbookViewId="0">
      <selection sqref="A1:XFD1048576"/>
    </sheetView>
  </sheetViews>
  <sheetFormatPr defaultColWidth="8.125" defaultRowHeight="18.75"/>
  <cols>
    <col min="1" max="1" width="8.125" style="234"/>
    <col min="2" max="2" width="30.375" style="234" customWidth="1"/>
    <col min="3" max="4" width="8.125" style="234"/>
    <col min="5" max="5" width="30.375" style="234" customWidth="1"/>
    <col min="6" max="7" width="8.125" style="234"/>
    <col min="8" max="8" width="30.375" style="234" customWidth="1"/>
    <col min="9" max="10" width="8.125" style="234"/>
    <col min="11" max="11" width="30.375" style="234" customWidth="1"/>
    <col min="12" max="16384" width="8.125" style="234"/>
  </cols>
  <sheetData>
    <row r="1" spans="1:11">
      <c r="A1" s="232" t="s">
        <v>4183</v>
      </c>
      <c r="B1" s="232" t="s">
        <v>50</v>
      </c>
      <c r="C1" s="233"/>
      <c r="D1" s="232" t="s">
        <v>49</v>
      </c>
      <c r="E1" s="232" t="s">
        <v>50</v>
      </c>
      <c r="F1" s="233"/>
      <c r="G1" s="232" t="s">
        <v>51</v>
      </c>
      <c r="H1" s="232" t="s">
        <v>50</v>
      </c>
      <c r="I1" s="233"/>
      <c r="J1" s="232" t="s">
        <v>52</v>
      </c>
      <c r="K1" s="232" t="s">
        <v>50</v>
      </c>
    </row>
    <row r="2" spans="1:11">
      <c r="A2" s="235" t="s">
        <v>4184</v>
      </c>
      <c r="B2" s="236" t="s">
        <v>4204</v>
      </c>
      <c r="D2" s="235" t="s">
        <v>53</v>
      </c>
      <c r="E2" s="236" t="s">
        <v>54</v>
      </c>
      <c r="G2" s="237" t="s">
        <v>55</v>
      </c>
      <c r="H2" s="236" t="s">
        <v>56</v>
      </c>
      <c r="J2" s="238" t="s">
        <v>57</v>
      </c>
      <c r="K2" s="236" t="s">
        <v>58</v>
      </c>
    </row>
    <row r="3" spans="1:11">
      <c r="A3" s="235" t="s">
        <v>4185</v>
      </c>
      <c r="B3" s="236" t="s">
        <v>4205</v>
      </c>
      <c r="D3" s="235" t="s">
        <v>59</v>
      </c>
      <c r="E3" s="236" t="s">
        <v>60</v>
      </c>
      <c r="G3" s="237" t="s">
        <v>61</v>
      </c>
      <c r="H3" s="236" t="s">
        <v>62</v>
      </c>
      <c r="J3" s="238" t="s">
        <v>63</v>
      </c>
      <c r="K3" s="236" t="s">
        <v>64</v>
      </c>
    </row>
    <row r="4" spans="1:11">
      <c r="A4" s="235" t="s">
        <v>4186</v>
      </c>
      <c r="B4" s="236" t="s">
        <v>4206</v>
      </c>
      <c r="D4" s="235" t="s">
        <v>65</v>
      </c>
      <c r="E4" s="236" t="s">
        <v>66</v>
      </c>
      <c r="G4" s="237" t="s">
        <v>67</v>
      </c>
      <c r="H4" s="236" t="s">
        <v>68</v>
      </c>
      <c r="J4" s="238" t="s">
        <v>69</v>
      </c>
      <c r="K4" s="236" t="s">
        <v>70</v>
      </c>
    </row>
    <row r="5" spans="1:11">
      <c r="A5" s="235" t="s">
        <v>4187</v>
      </c>
      <c r="B5" s="236" t="s">
        <v>4207</v>
      </c>
      <c r="D5" s="235" t="s">
        <v>71</v>
      </c>
      <c r="E5" s="236" t="s">
        <v>72</v>
      </c>
      <c r="G5" s="237" t="s">
        <v>73</v>
      </c>
      <c r="H5" s="236" t="s">
        <v>74</v>
      </c>
      <c r="J5" s="238" t="s">
        <v>75</v>
      </c>
      <c r="K5" s="236" t="s">
        <v>76</v>
      </c>
    </row>
    <row r="6" spans="1:11">
      <c r="A6" s="235" t="s">
        <v>4188</v>
      </c>
      <c r="B6" s="236" t="s">
        <v>4208</v>
      </c>
      <c r="D6" s="235" t="s">
        <v>77</v>
      </c>
      <c r="E6" s="236" t="s">
        <v>78</v>
      </c>
      <c r="G6" s="237" t="s">
        <v>79</v>
      </c>
      <c r="H6" s="236" t="s">
        <v>80</v>
      </c>
      <c r="J6" s="238" t="s">
        <v>81</v>
      </c>
      <c r="K6" s="236" t="s">
        <v>82</v>
      </c>
    </row>
    <row r="7" spans="1:11">
      <c r="A7" s="235" t="s">
        <v>4189</v>
      </c>
      <c r="B7" s="236" t="s">
        <v>4209</v>
      </c>
      <c r="D7" s="235" t="s">
        <v>83</v>
      </c>
      <c r="E7" s="236" t="s">
        <v>84</v>
      </c>
      <c r="G7" s="237" t="s">
        <v>85</v>
      </c>
      <c r="H7" s="236" t="s">
        <v>86</v>
      </c>
      <c r="J7" s="238" t="s">
        <v>87</v>
      </c>
      <c r="K7" s="236" t="s">
        <v>88</v>
      </c>
    </row>
    <row r="8" spans="1:11">
      <c r="A8" s="235" t="s">
        <v>4190</v>
      </c>
      <c r="B8" s="236" t="s">
        <v>4210</v>
      </c>
      <c r="D8" s="235" t="s">
        <v>89</v>
      </c>
      <c r="E8" s="236" t="s">
        <v>90</v>
      </c>
      <c r="G8" s="237" t="s">
        <v>91</v>
      </c>
      <c r="H8" s="236" t="s">
        <v>92</v>
      </c>
      <c r="J8" s="238" t="s">
        <v>93</v>
      </c>
      <c r="K8" s="236" t="s">
        <v>94</v>
      </c>
    </row>
    <row r="9" spans="1:11">
      <c r="A9" s="235" t="s">
        <v>4191</v>
      </c>
      <c r="B9" s="236" t="s">
        <v>4211</v>
      </c>
      <c r="D9" s="235" t="s">
        <v>95</v>
      </c>
      <c r="E9" s="236" t="s">
        <v>96</v>
      </c>
      <c r="G9" s="237" t="s">
        <v>97</v>
      </c>
      <c r="H9" s="236" t="s">
        <v>98</v>
      </c>
      <c r="J9" s="238" t="s">
        <v>99</v>
      </c>
      <c r="K9" s="236" t="s">
        <v>100</v>
      </c>
    </row>
    <row r="10" spans="1:11">
      <c r="A10" s="235" t="s">
        <v>4192</v>
      </c>
      <c r="B10" s="236" t="s">
        <v>4212</v>
      </c>
      <c r="D10" s="235" t="s">
        <v>101</v>
      </c>
      <c r="E10" s="236" t="s">
        <v>102</v>
      </c>
      <c r="G10" s="237" t="s">
        <v>103</v>
      </c>
      <c r="H10" s="236" t="s">
        <v>104</v>
      </c>
      <c r="J10" s="238" t="s">
        <v>105</v>
      </c>
      <c r="K10" s="236" t="s">
        <v>106</v>
      </c>
    </row>
    <row r="11" spans="1:11">
      <c r="A11" s="235" t="s">
        <v>4193</v>
      </c>
      <c r="B11" s="236" t="s">
        <v>4213</v>
      </c>
      <c r="D11" s="235" t="s">
        <v>107</v>
      </c>
      <c r="E11" s="236" t="s">
        <v>108</v>
      </c>
      <c r="G11" s="237" t="s">
        <v>109</v>
      </c>
      <c r="H11" s="236" t="s">
        <v>110</v>
      </c>
      <c r="J11" s="238" t="s">
        <v>111</v>
      </c>
      <c r="K11" s="236" t="s">
        <v>112</v>
      </c>
    </row>
    <row r="12" spans="1:11">
      <c r="A12" s="235" t="s">
        <v>4194</v>
      </c>
      <c r="B12" s="236" t="s">
        <v>4214</v>
      </c>
      <c r="D12" s="235" t="s">
        <v>113</v>
      </c>
      <c r="E12" s="236" t="s">
        <v>114</v>
      </c>
      <c r="G12" s="237" t="s">
        <v>115</v>
      </c>
      <c r="H12" s="236" t="s">
        <v>116</v>
      </c>
      <c r="J12" s="238" t="s">
        <v>117</v>
      </c>
      <c r="K12" s="236" t="s">
        <v>118</v>
      </c>
    </row>
    <row r="13" spans="1:11">
      <c r="A13" s="235" t="s">
        <v>4195</v>
      </c>
      <c r="B13" s="236" t="s">
        <v>4215</v>
      </c>
      <c r="D13" s="235" t="s">
        <v>119</v>
      </c>
      <c r="E13" s="236" t="s">
        <v>120</v>
      </c>
      <c r="G13" s="237" t="s">
        <v>121</v>
      </c>
      <c r="H13" s="236" t="s">
        <v>122</v>
      </c>
      <c r="J13" s="238" t="s">
        <v>123</v>
      </c>
      <c r="K13" s="236" t="s">
        <v>124</v>
      </c>
    </row>
    <row r="14" spans="1:11">
      <c r="A14" s="235" t="s">
        <v>4196</v>
      </c>
      <c r="B14" s="236" t="s">
        <v>4216</v>
      </c>
      <c r="D14" s="235" t="s">
        <v>125</v>
      </c>
      <c r="E14" s="236" t="s">
        <v>126</v>
      </c>
      <c r="G14" s="237" t="s">
        <v>127</v>
      </c>
      <c r="H14" s="236" t="s">
        <v>128</v>
      </c>
      <c r="J14" s="238" t="s">
        <v>129</v>
      </c>
      <c r="K14" s="236" t="s">
        <v>130</v>
      </c>
    </row>
    <row r="15" spans="1:11">
      <c r="A15" s="235" t="s">
        <v>4197</v>
      </c>
      <c r="B15" s="236" t="s">
        <v>4217</v>
      </c>
      <c r="D15" s="235" t="s">
        <v>131</v>
      </c>
      <c r="E15" s="236" t="s">
        <v>132</v>
      </c>
      <c r="G15" s="237" t="s">
        <v>133</v>
      </c>
      <c r="H15" s="236" t="s">
        <v>134</v>
      </c>
      <c r="J15" s="238" t="s">
        <v>135</v>
      </c>
      <c r="K15" s="236" t="s">
        <v>136</v>
      </c>
    </row>
    <row r="16" spans="1:11">
      <c r="A16" s="235" t="s">
        <v>4198</v>
      </c>
      <c r="B16" s="236" t="s">
        <v>4218</v>
      </c>
      <c r="D16" s="235" t="s">
        <v>137</v>
      </c>
      <c r="E16" s="236" t="s">
        <v>138</v>
      </c>
      <c r="G16" s="237" t="s">
        <v>139</v>
      </c>
      <c r="H16" s="236" t="s">
        <v>140</v>
      </c>
      <c r="J16" s="238" t="s">
        <v>141</v>
      </c>
      <c r="K16" s="236" t="s">
        <v>142</v>
      </c>
    </row>
    <row r="17" spans="1:11">
      <c r="A17" s="235" t="s">
        <v>4199</v>
      </c>
      <c r="B17" s="236" t="s">
        <v>4219</v>
      </c>
      <c r="D17" s="235" t="s">
        <v>143</v>
      </c>
      <c r="E17" s="236" t="s">
        <v>144</v>
      </c>
      <c r="G17" s="237" t="s">
        <v>145</v>
      </c>
      <c r="H17" s="236" t="s">
        <v>146</v>
      </c>
      <c r="J17" s="238" t="s">
        <v>147</v>
      </c>
      <c r="K17" s="236" t="s">
        <v>148</v>
      </c>
    </row>
    <row r="18" spans="1:11">
      <c r="A18" s="235" t="s">
        <v>4200</v>
      </c>
      <c r="B18" s="236" t="s">
        <v>4220</v>
      </c>
      <c r="D18" s="235" t="s">
        <v>149</v>
      </c>
      <c r="E18" s="236" t="s">
        <v>150</v>
      </c>
      <c r="G18" s="237" t="s">
        <v>151</v>
      </c>
      <c r="H18" s="236" t="s">
        <v>152</v>
      </c>
      <c r="J18" s="238" t="s">
        <v>153</v>
      </c>
      <c r="K18" s="236" t="s">
        <v>154</v>
      </c>
    </row>
    <row r="19" spans="1:11">
      <c r="A19" s="235" t="s">
        <v>4201</v>
      </c>
      <c r="B19" s="236" t="s">
        <v>4221</v>
      </c>
      <c r="D19" s="235" t="s">
        <v>155</v>
      </c>
      <c r="E19" s="236" t="s">
        <v>156</v>
      </c>
      <c r="G19" s="237" t="s">
        <v>157</v>
      </c>
      <c r="H19" s="236" t="s">
        <v>158</v>
      </c>
      <c r="J19" s="238" t="s">
        <v>159</v>
      </c>
      <c r="K19" s="236" t="s">
        <v>160</v>
      </c>
    </row>
    <row r="20" spans="1:11">
      <c r="A20" s="235" t="s">
        <v>4202</v>
      </c>
      <c r="B20" s="236" t="s">
        <v>4222</v>
      </c>
      <c r="D20" s="235" t="s">
        <v>161</v>
      </c>
      <c r="E20" s="236" t="s">
        <v>162</v>
      </c>
      <c r="G20" s="237" t="s">
        <v>163</v>
      </c>
      <c r="H20" s="236" t="s">
        <v>164</v>
      </c>
      <c r="J20" s="238" t="s">
        <v>165</v>
      </c>
      <c r="K20" s="236" t="s">
        <v>166</v>
      </c>
    </row>
    <row r="21" spans="1:11">
      <c r="A21" s="235" t="s">
        <v>4203</v>
      </c>
      <c r="B21" s="236" t="s">
        <v>4223</v>
      </c>
      <c r="D21" s="235" t="s">
        <v>167</v>
      </c>
      <c r="E21" s="236" t="s">
        <v>168</v>
      </c>
      <c r="G21" s="237" t="s">
        <v>169</v>
      </c>
      <c r="H21" s="236" t="s">
        <v>170</v>
      </c>
      <c r="J21" s="238" t="s">
        <v>171</v>
      </c>
      <c r="K21" s="236" t="s">
        <v>172</v>
      </c>
    </row>
    <row r="22" spans="1:11">
      <c r="A22" s="239"/>
      <c r="B22" s="240"/>
      <c r="D22" s="235" t="s">
        <v>173</v>
      </c>
      <c r="E22" s="236" t="s">
        <v>174</v>
      </c>
      <c r="G22" s="237" t="s">
        <v>175</v>
      </c>
      <c r="H22" s="236" t="s">
        <v>176</v>
      </c>
      <c r="J22" s="238" t="s">
        <v>177</v>
      </c>
      <c r="K22" s="236" t="s">
        <v>178</v>
      </c>
    </row>
    <row r="23" spans="1:11">
      <c r="A23" s="239"/>
      <c r="B23" s="240"/>
      <c r="D23" s="235" t="s">
        <v>179</v>
      </c>
      <c r="E23" s="236" t="s">
        <v>180</v>
      </c>
      <c r="G23" s="237" t="s">
        <v>181</v>
      </c>
      <c r="H23" s="236" t="s">
        <v>182</v>
      </c>
      <c r="J23" s="238" t="s">
        <v>183</v>
      </c>
      <c r="K23" s="236" t="s">
        <v>80</v>
      </c>
    </row>
    <row r="24" spans="1:11">
      <c r="A24" s="239"/>
      <c r="B24" s="240"/>
      <c r="D24" s="235" t="s">
        <v>184</v>
      </c>
      <c r="E24" s="236" t="s">
        <v>185</v>
      </c>
      <c r="G24" s="237" t="s">
        <v>186</v>
      </c>
      <c r="H24" s="236" t="s">
        <v>187</v>
      </c>
      <c r="J24" s="238" t="s">
        <v>188</v>
      </c>
      <c r="K24" s="236" t="s">
        <v>58</v>
      </c>
    </row>
    <row r="25" spans="1:11">
      <c r="A25" s="239"/>
      <c r="B25" s="240"/>
      <c r="D25" s="235" t="s">
        <v>189</v>
      </c>
      <c r="E25" s="236" t="s">
        <v>190</v>
      </c>
      <c r="G25" s="237" t="s">
        <v>191</v>
      </c>
      <c r="H25" s="236" t="s">
        <v>192</v>
      </c>
      <c r="J25" s="238" t="s">
        <v>193</v>
      </c>
      <c r="K25" s="236" t="s">
        <v>64</v>
      </c>
    </row>
    <row r="26" spans="1:11">
      <c r="A26" s="239"/>
      <c r="B26" s="240"/>
      <c r="D26" s="235" t="s">
        <v>194</v>
      </c>
      <c r="E26" s="236" t="s">
        <v>195</v>
      </c>
      <c r="G26" s="237" t="s">
        <v>196</v>
      </c>
      <c r="H26" s="236" t="s">
        <v>197</v>
      </c>
      <c r="J26" s="238" t="s">
        <v>198</v>
      </c>
      <c r="K26" s="236" t="s">
        <v>92</v>
      </c>
    </row>
    <row r="27" spans="1:11">
      <c r="A27" s="239"/>
      <c r="B27" s="240"/>
      <c r="D27" s="235" t="s">
        <v>199</v>
      </c>
      <c r="E27" s="236" t="s">
        <v>200</v>
      </c>
      <c r="G27" s="237" t="s">
        <v>201</v>
      </c>
      <c r="H27" s="236" t="s">
        <v>202</v>
      </c>
      <c r="J27" s="238" t="s">
        <v>203</v>
      </c>
      <c r="K27" s="236" t="s">
        <v>98</v>
      </c>
    </row>
    <row r="28" spans="1:11">
      <c r="A28" s="239"/>
      <c r="B28" s="240"/>
      <c r="D28" s="235" t="s">
        <v>204</v>
      </c>
      <c r="E28" s="236" t="s">
        <v>205</v>
      </c>
      <c r="G28" s="237" t="s">
        <v>206</v>
      </c>
      <c r="H28" s="236" t="s">
        <v>207</v>
      </c>
      <c r="J28" s="238" t="s">
        <v>208</v>
      </c>
      <c r="K28" s="236" t="s">
        <v>209</v>
      </c>
    </row>
    <row r="29" spans="1:11">
      <c r="A29" s="239"/>
      <c r="B29" s="240"/>
      <c r="D29" s="235" t="s">
        <v>210</v>
      </c>
      <c r="E29" s="236" t="s">
        <v>211</v>
      </c>
      <c r="G29" s="237" t="s">
        <v>212</v>
      </c>
      <c r="H29" s="236" t="s">
        <v>213</v>
      </c>
      <c r="J29" s="238" t="s">
        <v>214</v>
      </c>
      <c r="K29" s="236" t="s">
        <v>215</v>
      </c>
    </row>
    <row r="30" spans="1:11">
      <c r="A30" s="239"/>
      <c r="B30" s="240"/>
      <c r="D30" s="235" t="s">
        <v>216</v>
      </c>
      <c r="E30" s="236" t="s">
        <v>217</v>
      </c>
      <c r="G30" s="237" t="s">
        <v>218</v>
      </c>
      <c r="H30" s="236" t="s">
        <v>219</v>
      </c>
      <c r="J30" s="238" t="s">
        <v>220</v>
      </c>
      <c r="K30" s="236" t="s">
        <v>221</v>
      </c>
    </row>
    <row r="31" spans="1:11">
      <c r="A31" s="239"/>
      <c r="B31" s="240"/>
      <c r="D31" s="235" t="s">
        <v>222</v>
      </c>
      <c r="E31" s="236" t="s">
        <v>223</v>
      </c>
      <c r="G31" s="237" t="s">
        <v>224</v>
      </c>
      <c r="H31" s="236" t="s">
        <v>225</v>
      </c>
      <c r="J31" s="238" t="s">
        <v>226</v>
      </c>
      <c r="K31" s="236" t="s">
        <v>227</v>
      </c>
    </row>
    <row r="32" spans="1:11">
      <c r="A32" s="239"/>
      <c r="B32" s="240"/>
      <c r="D32" s="235" t="s">
        <v>228</v>
      </c>
      <c r="E32" s="236" t="s">
        <v>229</v>
      </c>
      <c r="G32" s="237" t="s">
        <v>230</v>
      </c>
      <c r="H32" s="236" t="s">
        <v>231</v>
      </c>
      <c r="J32" s="238" t="s">
        <v>232</v>
      </c>
      <c r="K32" s="236" t="s">
        <v>233</v>
      </c>
    </row>
    <row r="33" spans="1:11">
      <c r="A33" s="239"/>
      <c r="B33" s="240"/>
      <c r="D33" s="235" t="s">
        <v>234</v>
      </c>
      <c r="E33" s="236" t="s">
        <v>235</v>
      </c>
      <c r="G33" s="237" t="s">
        <v>236</v>
      </c>
      <c r="H33" s="236" t="s">
        <v>237</v>
      </c>
      <c r="J33" s="238" t="s">
        <v>238</v>
      </c>
      <c r="K33" s="236" t="s">
        <v>239</v>
      </c>
    </row>
    <row r="34" spans="1:11">
      <c r="A34" s="239"/>
      <c r="B34" s="240"/>
      <c r="D34" s="235" t="s">
        <v>240</v>
      </c>
      <c r="E34" s="236" t="s">
        <v>241</v>
      </c>
      <c r="G34" s="237" t="s">
        <v>242</v>
      </c>
      <c r="H34" s="236" t="s">
        <v>243</v>
      </c>
      <c r="J34" s="238" t="s">
        <v>244</v>
      </c>
      <c r="K34" s="236" t="s">
        <v>116</v>
      </c>
    </row>
    <row r="35" spans="1:11">
      <c r="A35" s="239"/>
      <c r="B35" s="240"/>
      <c r="D35" s="235" t="s">
        <v>245</v>
      </c>
      <c r="E35" s="236" t="s">
        <v>246</v>
      </c>
      <c r="G35" s="237" t="s">
        <v>247</v>
      </c>
      <c r="H35" s="236" t="s">
        <v>248</v>
      </c>
      <c r="J35" s="238" t="s">
        <v>249</v>
      </c>
      <c r="K35" s="236" t="s">
        <v>58</v>
      </c>
    </row>
    <row r="36" spans="1:11">
      <c r="A36" s="239"/>
      <c r="B36" s="240"/>
      <c r="D36" s="235" t="s">
        <v>250</v>
      </c>
      <c r="E36" s="236" t="s">
        <v>251</v>
      </c>
      <c r="G36" s="237" t="s">
        <v>252</v>
      </c>
      <c r="H36" s="236" t="s">
        <v>253</v>
      </c>
      <c r="J36" s="238" t="s">
        <v>254</v>
      </c>
      <c r="K36" s="236" t="s">
        <v>64</v>
      </c>
    </row>
    <row r="37" spans="1:11">
      <c r="A37" s="239"/>
      <c r="B37" s="240"/>
      <c r="D37" s="235" t="s">
        <v>255</v>
      </c>
      <c r="E37" s="236" t="s">
        <v>256</v>
      </c>
      <c r="G37" s="237" t="s">
        <v>257</v>
      </c>
      <c r="H37" s="236" t="s">
        <v>258</v>
      </c>
      <c r="J37" s="238" t="s">
        <v>259</v>
      </c>
      <c r="K37" s="236" t="s">
        <v>260</v>
      </c>
    </row>
    <row r="38" spans="1:11">
      <c r="A38" s="239"/>
      <c r="B38" s="240"/>
      <c r="D38" s="235" t="s">
        <v>261</v>
      </c>
      <c r="E38" s="236" t="s">
        <v>262</v>
      </c>
      <c r="G38" s="237" t="s">
        <v>263</v>
      </c>
      <c r="H38" s="236" t="s">
        <v>264</v>
      </c>
      <c r="J38" s="238" t="s">
        <v>265</v>
      </c>
      <c r="K38" s="236" t="s">
        <v>266</v>
      </c>
    </row>
    <row r="39" spans="1:11">
      <c r="A39" s="239"/>
      <c r="B39" s="240"/>
      <c r="D39" s="235" t="s">
        <v>267</v>
      </c>
      <c r="E39" s="236" t="s">
        <v>268</v>
      </c>
      <c r="G39" s="237" t="s">
        <v>269</v>
      </c>
      <c r="H39" s="236" t="s">
        <v>270</v>
      </c>
      <c r="J39" s="238" t="s">
        <v>271</v>
      </c>
      <c r="K39" s="236" t="s">
        <v>272</v>
      </c>
    </row>
    <row r="40" spans="1:11">
      <c r="A40" s="239"/>
      <c r="B40" s="240"/>
      <c r="D40" s="235" t="s">
        <v>273</v>
      </c>
      <c r="E40" s="236" t="s">
        <v>274</v>
      </c>
      <c r="G40" s="237" t="s">
        <v>275</v>
      </c>
      <c r="H40" s="236" t="s">
        <v>276</v>
      </c>
      <c r="J40" s="238" t="s">
        <v>277</v>
      </c>
      <c r="K40" s="236" t="s">
        <v>278</v>
      </c>
    </row>
    <row r="41" spans="1:11">
      <c r="A41" s="239"/>
      <c r="B41" s="240"/>
      <c r="D41" s="235" t="s">
        <v>279</v>
      </c>
      <c r="E41" s="236" t="s">
        <v>280</v>
      </c>
      <c r="G41" s="237" t="s">
        <v>281</v>
      </c>
      <c r="H41" s="236" t="s">
        <v>282</v>
      </c>
      <c r="J41" s="238" t="s">
        <v>283</v>
      </c>
      <c r="K41" s="236" t="s">
        <v>284</v>
      </c>
    </row>
    <row r="42" spans="1:11">
      <c r="A42" s="239"/>
      <c r="B42" s="240"/>
      <c r="D42" s="235" t="s">
        <v>285</v>
      </c>
      <c r="E42" s="236" t="s">
        <v>286</v>
      </c>
      <c r="G42" s="237" t="s">
        <v>287</v>
      </c>
      <c r="H42" s="236" t="s">
        <v>288</v>
      </c>
      <c r="J42" s="238" t="s">
        <v>289</v>
      </c>
      <c r="K42" s="236" t="s">
        <v>290</v>
      </c>
    </row>
    <row r="43" spans="1:11">
      <c r="A43" s="239"/>
      <c r="B43" s="240"/>
      <c r="D43" s="235" t="s">
        <v>291</v>
      </c>
      <c r="E43" s="236" t="s">
        <v>292</v>
      </c>
      <c r="G43" s="237" t="s">
        <v>293</v>
      </c>
      <c r="H43" s="236" t="s">
        <v>294</v>
      </c>
      <c r="J43" s="238" t="s">
        <v>295</v>
      </c>
      <c r="K43" s="236" t="s">
        <v>296</v>
      </c>
    </row>
    <row r="44" spans="1:11">
      <c r="A44" s="239"/>
      <c r="B44" s="240"/>
      <c r="D44" s="235" t="s">
        <v>297</v>
      </c>
      <c r="E44" s="236" t="s">
        <v>298</v>
      </c>
      <c r="G44" s="237" t="s">
        <v>299</v>
      </c>
      <c r="H44" s="236" t="s">
        <v>300</v>
      </c>
      <c r="J44" s="238" t="s">
        <v>301</v>
      </c>
      <c r="K44" s="236" t="s">
        <v>302</v>
      </c>
    </row>
    <row r="45" spans="1:11">
      <c r="A45" s="239"/>
      <c r="B45" s="240"/>
      <c r="D45" s="235" t="s">
        <v>303</v>
      </c>
      <c r="E45" s="236" t="s">
        <v>304</v>
      </c>
      <c r="G45" s="237" t="s">
        <v>305</v>
      </c>
      <c r="H45" s="236" t="s">
        <v>306</v>
      </c>
      <c r="J45" s="238" t="s">
        <v>307</v>
      </c>
      <c r="K45" s="236" t="s">
        <v>308</v>
      </c>
    </row>
    <row r="46" spans="1:11">
      <c r="A46" s="239"/>
      <c r="B46" s="240"/>
      <c r="D46" s="235" t="s">
        <v>309</v>
      </c>
      <c r="E46" s="236" t="s">
        <v>310</v>
      </c>
      <c r="G46" s="237" t="s">
        <v>311</v>
      </c>
      <c r="H46" s="236" t="s">
        <v>312</v>
      </c>
      <c r="J46" s="238" t="s">
        <v>313</v>
      </c>
      <c r="K46" s="236" t="s">
        <v>134</v>
      </c>
    </row>
    <row r="47" spans="1:11">
      <c r="A47" s="239"/>
      <c r="B47" s="240"/>
      <c r="D47" s="235" t="s">
        <v>314</v>
      </c>
      <c r="E47" s="236" t="s">
        <v>315</v>
      </c>
      <c r="G47" s="237" t="s">
        <v>316</v>
      </c>
      <c r="H47" s="236" t="s">
        <v>317</v>
      </c>
      <c r="J47" s="238" t="s">
        <v>318</v>
      </c>
      <c r="K47" s="236" t="s">
        <v>58</v>
      </c>
    </row>
    <row r="48" spans="1:11">
      <c r="A48" s="239"/>
      <c r="B48" s="240"/>
      <c r="D48" s="235" t="s">
        <v>319</v>
      </c>
      <c r="E48" s="236" t="s">
        <v>320</v>
      </c>
      <c r="G48" s="237" t="s">
        <v>321</v>
      </c>
      <c r="H48" s="236" t="s">
        <v>322</v>
      </c>
      <c r="J48" s="238" t="s">
        <v>323</v>
      </c>
      <c r="K48" s="236" t="s">
        <v>64</v>
      </c>
    </row>
    <row r="49" spans="1:11">
      <c r="A49" s="239"/>
      <c r="B49" s="240"/>
      <c r="D49" s="235" t="s">
        <v>324</v>
      </c>
      <c r="E49" s="236" t="s">
        <v>325</v>
      </c>
      <c r="G49" s="237" t="s">
        <v>326</v>
      </c>
      <c r="H49" s="236" t="s">
        <v>327</v>
      </c>
      <c r="J49" s="238" t="s">
        <v>328</v>
      </c>
      <c r="K49" s="236" t="s">
        <v>329</v>
      </c>
    </row>
    <row r="50" spans="1:11">
      <c r="A50" s="239"/>
      <c r="B50" s="240"/>
      <c r="D50" s="235" t="s">
        <v>330</v>
      </c>
      <c r="E50" s="236" t="s">
        <v>331</v>
      </c>
      <c r="G50" s="237" t="s">
        <v>332</v>
      </c>
      <c r="H50" s="236" t="s">
        <v>333</v>
      </c>
      <c r="J50" s="238" t="s">
        <v>334</v>
      </c>
      <c r="K50" s="236" t="s">
        <v>335</v>
      </c>
    </row>
    <row r="51" spans="1:11">
      <c r="A51" s="239"/>
      <c r="B51" s="240"/>
      <c r="D51" s="235" t="s">
        <v>336</v>
      </c>
      <c r="E51" s="236" t="s">
        <v>337</v>
      </c>
      <c r="G51" s="237" t="s">
        <v>338</v>
      </c>
      <c r="H51" s="236" t="s">
        <v>339</v>
      </c>
      <c r="J51" s="238" t="s">
        <v>340</v>
      </c>
      <c r="K51" s="236" t="s">
        <v>341</v>
      </c>
    </row>
    <row r="52" spans="1:11">
      <c r="A52" s="239"/>
      <c r="B52" s="240"/>
      <c r="D52" s="235" t="s">
        <v>342</v>
      </c>
      <c r="E52" s="236" t="s">
        <v>343</v>
      </c>
      <c r="G52" s="237" t="s">
        <v>344</v>
      </c>
      <c r="H52" s="236" t="s">
        <v>345</v>
      </c>
      <c r="J52" s="238" t="s">
        <v>346</v>
      </c>
      <c r="K52" s="236" t="s">
        <v>347</v>
      </c>
    </row>
    <row r="53" spans="1:11">
      <c r="A53" s="239"/>
      <c r="B53" s="240"/>
      <c r="D53" s="235" t="s">
        <v>348</v>
      </c>
      <c r="E53" s="236" t="s">
        <v>349</v>
      </c>
      <c r="G53" s="237" t="s">
        <v>350</v>
      </c>
      <c r="H53" s="236" t="s">
        <v>351</v>
      </c>
      <c r="J53" s="238" t="s">
        <v>352</v>
      </c>
      <c r="K53" s="236" t="s">
        <v>353</v>
      </c>
    </row>
    <row r="54" spans="1:11">
      <c r="A54" s="239"/>
      <c r="B54" s="240"/>
      <c r="D54" s="235" t="s">
        <v>354</v>
      </c>
      <c r="E54" s="236" t="s">
        <v>355</v>
      </c>
      <c r="G54" s="237" t="s">
        <v>356</v>
      </c>
      <c r="H54" s="236" t="s">
        <v>357</v>
      </c>
      <c r="J54" s="238" t="s">
        <v>358</v>
      </c>
      <c r="K54" s="236" t="s">
        <v>359</v>
      </c>
    </row>
    <row r="55" spans="1:11">
      <c r="A55" s="239"/>
      <c r="B55" s="240"/>
      <c r="D55" s="235" t="s">
        <v>360</v>
      </c>
      <c r="E55" s="236" t="s">
        <v>361</v>
      </c>
      <c r="G55" s="237" t="s">
        <v>362</v>
      </c>
      <c r="H55" s="236" t="s">
        <v>363</v>
      </c>
      <c r="J55" s="238" t="s">
        <v>364</v>
      </c>
      <c r="K55" s="236" t="s">
        <v>152</v>
      </c>
    </row>
    <row r="56" spans="1:11">
      <c r="A56" s="239"/>
      <c r="B56" s="240"/>
      <c r="D56" s="235" t="s">
        <v>365</v>
      </c>
      <c r="E56" s="236" t="s">
        <v>366</v>
      </c>
      <c r="G56" s="237" t="s">
        <v>367</v>
      </c>
      <c r="H56" s="236" t="s">
        <v>368</v>
      </c>
      <c r="J56" s="238" t="s">
        <v>369</v>
      </c>
      <c r="K56" s="236" t="s">
        <v>58</v>
      </c>
    </row>
    <row r="57" spans="1:11">
      <c r="A57" s="239"/>
      <c r="B57" s="240"/>
      <c r="D57" s="235" t="s">
        <v>370</v>
      </c>
      <c r="E57" s="236" t="s">
        <v>371</v>
      </c>
      <c r="G57" s="237" t="s">
        <v>372</v>
      </c>
      <c r="H57" s="236" t="s">
        <v>373</v>
      </c>
      <c r="J57" s="238" t="s">
        <v>374</v>
      </c>
      <c r="K57" s="236" t="s">
        <v>64</v>
      </c>
    </row>
    <row r="58" spans="1:11">
      <c r="A58" s="239"/>
      <c r="B58" s="240"/>
      <c r="D58" s="235" t="s">
        <v>375</v>
      </c>
      <c r="E58" s="236" t="s">
        <v>376</v>
      </c>
      <c r="G58" s="237" t="s">
        <v>377</v>
      </c>
      <c r="H58" s="236" t="s">
        <v>378</v>
      </c>
      <c r="J58" s="238" t="s">
        <v>379</v>
      </c>
      <c r="K58" s="236" t="s">
        <v>380</v>
      </c>
    </row>
    <row r="59" spans="1:11">
      <c r="A59" s="239"/>
      <c r="B59" s="240"/>
      <c r="D59" s="235" t="s">
        <v>381</v>
      </c>
      <c r="E59" s="236" t="s">
        <v>382</v>
      </c>
      <c r="G59" s="241" t="s">
        <v>383</v>
      </c>
      <c r="H59" s="236" t="s">
        <v>384</v>
      </c>
      <c r="J59" s="238" t="s">
        <v>385</v>
      </c>
      <c r="K59" s="236" t="s">
        <v>386</v>
      </c>
    </row>
    <row r="60" spans="1:11">
      <c r="A60" s="239"/>
      <c r="B60" s="240"/>
      <c r="D60" s="235" t="s">
        <v>387</v>
      </c>
      <c r="E60" s="236" t="s">
        <v>388</v>
      </c>
      <c r="G60" s="241" t="s">
        <v>389</v>
      </c>
      <c r="H60" s="236" t="s">
        <v>390</v>
      </c>
      <c r="J60" s="238" t="s">
        <v>391</v>
      </c>
      <c r="K60" s="236" t="s">
        <v>392</v>
      </c>
    </row>
    <row r="61" spans="1:11">
      <c r="A61" s="239"/>
      <c r="B61" s="240"/>
      <c r="D61" s="235" t="s">
        <v>393</v>
      </c>
      <c r="E61" s="236" t="s">
        <v>394</v>
      </c>
      <c r="G61" s="241" t="s">
        <v>395</v>
      </c>
      <c r="H61" s="236" t="s">
        <v>396</v>
      </c>
      <c r="J61" s="238" t="s">
        <v>397</v>
      </c>
      <c r="K61" s="236" t="s">
        <v>398</v>
      </c>
    </row>
    <row r="62" spans="1:11">
      <c r="A62" s="239"/>
      <c r="B62" s="240"/>
      <c r="D62" s="235" t="s">
        <v>399</v>
      </c>
      <c r="E62" s="236" t="s">
        <v>400</v>
      </c>
      <c r="G62" s="241" t="s">
        <v>401</v>
      </c>
      <c r="H62" s="236" t="s">
        <v>402</v>
      </c>
      <c r="J62" s="238" t="s">
        <v>403</v>
      </c>
      <c r="K62" s="236" t="s">
        <v>404</v>
      </c>
    </row>
    <row r="63" spans="1:11">
      <c r="A63" s="239"/>
      <c r="B63" s="240"/>
      <c r="D63" s="235" t="s">
        <v>405</v>
      </c>
      <c r="E63" s="236" t="s">
        <v>406</v>
      </c>
      <c r="G63" s="241" t="s">
        <v>407</v>
      </c>
      <c r="H63" s="236" t="s">
        <v>408</v>
      </c>
      <c r="J63" s="238" t="s">
        <v>409</v>
      </c>
      <c r="K63" s="236" t="s">
        <v>410</v>
      </c>
    </row>
    <row r="64" spans="1:11">
      <c r="A64" s="239"/>
      <c r="B64" s="240"/>
      <c r="D64" s="235" t="s">
        <v>411</v>
      </c>
      <c r="E64" s="236" t="s">
        <v>412</v>
      </c>
      <c r="G64" s="241" t="s">
        <v>413</v>
      </c>
      <c r="H64" s="236" t="s">
        <v>414</v>
      </c>
      <c r="J64" s="238" t="s">
        <v>415</v>
      </c>
      <c r="K64" s="236" t="s">
        <v>416</v>
      </c>
    </row>
    <row r="65" spans="1:11">
      <c r="A65" s="239"/>
      <c r="B65" s="240"/>
      <c r="D65" s="235" t="s">
        <v>417</v>
      </c>
      <c r="E65" s="236" t="s">
        <v>418</v>
      </c>
      <c r="G65" s="241" t="s">
        <v>419</v>
      </c>
      <c r="H65" s="236" t="s">
        <v>420</v>
      </c>
      <c r="J65" s="238" t="s">
        <v>421</v>
      </c>
      <c r="K65" s="236" t="s">
        <v>422</v>
      </c>
    </row>
    <row r="66" spans="1:11">
      <c r="A66" s="239"/>
      <c r="B66" s="240"/>
      <c r="D66" s="235" t="s">
        <v>423</v>
      </c>
      <c r="E66" s="236" t="s">
        <v>424</v>
      </c>
      <c r="G66" s="241" t="s">
        <v>425</v>
      </c>
      <c r="H66" s="236" t="s">
        <v>426</v>
      </c>
      <c r="J66" s="238" t="s">
        <v>427</v>
      </c>
      <c r="K66" s="236" t="s">
        <v>428</v>
      </c>
    </row>
    <row r="67" spans="1:11">
      <c r="A67" s="239"/>
      <c r="B67" s="240"/>
      <c r="D67" s="235" t="s">
        <v>429</v>
      </c>
      <c r="E67" s="236" t="s">
        <v>430</v>
      </c>
      <c r="G67" s="241" t="s">
        <v>431</v>
      </c>
      <c r="H67" s="236" t="s">
        <v>432</v>
      </c>
      <c r="J67" s="238" t="s">
        <v>433</v>
      </c>
      <c r="K67" s="236" t="s">
        <v>434</v>
      </c>
    </row>
    <row r="68" spans="1:11">
      <c r="A68" s="239"/>
      <c r="B68" s="240"/>
      <c r="D68" s="235" t="s">
        <v>435</v>
      </c>
      <c r="E68" s="236" t="s">
        <v>436</v>
      </c>
      <c r="G68" s="241" t="s">
        <v>437</v>
      </c>
      <c r="H68" s="236" t="s">
        <v>438</v>
      </c>
      <c r="J68" s="238" t="s">
        <v>439</v>
      </c>
      <c r="K68" s="236" t="s">
        <v>440</v>
      </c>
    </row>
    <row r="69" spans="1:11">
      <c r="A69" s="239"/>
      <c r="B69" s="240"/>
      <c r="D69" s="235" t="s">
        <v>441</v>
      </c>
      <c r="E69" s="236" t="s">
        <v>442</v>
      </c>
      <c r="G69" s="241" t="s">
        <v>443</v>
      </c>
      <c r="H69" s="236" t="s">
        <v>444</v>
      </c>
      <c r="J69" s="238" t="s">
        <v>445</v>
      </c>
      <c r="K69" s="236" t="s">
        <v>446</v>
      </c>
    </row>
    <row r="70" spans="1:11">
      <c r="A70" s="239"/>
      <c r="B70" s="240"/>
      <c r="D70" s="235" t="s">
        <v>447</v>
      </c>
      <c r="E70" s="236" t="s">
        <v>448</v>
      </c>
      <c r="G70" s="241" t="s">
        <v>449</v>
      </c>
      <c r="H70" s="236" t="s">
        <v>450</v>
      </c>
      <c r="J70" s="238" t="s">
        <v>451</v>
      </c>
      <c r="K70" s="236" t="s">
        <v>452</v>
      </c>
    </row>
    <row r="71" spans="1:11">
      <c r="A71" s="239"/>
      <c r="B71" s="240"/>
      <c r="D71" s="235" t="s">
        <v>453</v>
      </c>
      <c r="E71" s="236" t="s">
        <v>454</v>
      </c>
      <c r="G71" s="241" t="s">
        <v>455</v>
      </c>
      <c r="H71" s="236" t="s">
        <v>456</v>
      </c>
      <c r="J71" s="238" t="s">
        <v>457</v>
      </c>
      <c r="K71" s="236" t="s">
        <v>458</v>
      </c>
    </row>
    <row r="72" spans="1:11">
      <c r="A72" s="239"/>
      <c r="B72" s="240"/>
      <c r="D72" s="235" t="s">
        <v>459</v>
      </c>
      <c r="E72" s="236" t="s">
        <v>460</v>
      </c>
      <c r="G72" s="241" t="s">
        <v>461</v>
      </c>
      <c r="H72" s="236" t="s">
        <v>462</v>
      </c>
      <c r="J72" s="238" t="s">
        <v>463</v>
      </c>
      <c r="K72" s="236" t="s">
        <v>464</v>
      </c>
    </row>
    <row r="73" spans="1:11">
      <c r="A73" s="239"/>
      <c r="B73" s="240"/>
      <c r="D73" s="235" t="s">
        <v>465</v>
      </c>
      <c r="E73" s="236" t="s">
        <v>466</v>
      </c>
      <c r="G73" s="241" t="s">
        <v>467</v>
      </c>
      <c r="H73" s="236" t="s">
        <v>468</v>
      </c>
      <c r="J73" s="238" t="s">
        <v>469</v>
      </c>
      <c r="K73" s="236" t="s">
        <v>470</v>
      </c>
    </row>
    <row r="74" spans="1:11">
      <c r="A74" s="239"/>
      <c r="B74" s="240"/>
      <c r="D74" s="235" t="s">
        <v>471</v>
      </c>
      <c r="E74" s="236" t="s">
        <v>472</v>
      </c>
      <c r="G74" s="241" t="s">
        <v>473</v>
      </c>
      <c r="H74" s="236" t="s">
        <v>474</v>
      </c>
      <c r="J74" s="238" t="s">
        <v>475</v>
      </c>
      <c r="K74" s="236" t="s">
        <v>476</v>
      </c>
    </row>
    <row r="75" spans="1:11">
      <c r="A75" s="239"/>
      <c r="B75" s="240"/>
      <c r="D75" s="235" t="s">
        <v>477</v>
      </c>
      <c r="E75" s="236" t="s">
        <v>478</v>
      </c>
      <c r="G75" s="241" t="s">
        <v>479</v>
      </c>
      <c r="H75" s="236" t="s">
        <v>480</v>
      </c>
      <c r="J75" s="238" t="s">
        <v>481</v>
      </c>
      <c r="K75" s="236" t="s">
        <v>482</v>
      </c>
    </row>
    <row r="76" spans="1:11">
      <c r="A76" s="239"/>
      <c r="B76" s="240"/>
      <c r="D76" s="235" t="s">
        <v>483</v>
      </c>
      <c r="E76" s="236" t="s">
        <v>484</v>
      </c>
      <c r="G76" s="241" t="s">
        <v>485</v>
      </c>
      <c r="H76" s="236" t="s">
        <v>486</v>
      </c>
      <c r="J76" s="238" t="s">
        <v>487</v>
      </c>
      <c r="K76" s="236" t="s">
        <v>488</v>
      </c>
    </row>
    <row r="77" spans="1:11">
      <c r="A77" s="239"/>
      <c r="B77" s="240"/>
      <c r="D77" s="235" t="s">
        <v>489</v>
      </c>
      <c r="E77" s="236" t="s">
        <v>490</v>
      </c>
      <c r="G77" s="241" t="s">
        <v>491</v>
      </c>
      <c r="H77" s="236" t="s">
        <v>492</v>
      </c>
      <c r="J77" s="238" t="s">
        <v>493</v>
      </c>
      <c r="K77" s="236" t="s">
        <v>494</v>
      </c>
    </row>
    <row r="78" spans="1:11">
      <c r="A78" s="239"/>
      <c r="B78" s="240"/>
      <c r="D78" s="235" t="s">
        <v>495</v>
      </c>
      <c r="E78" s="236" t="s">
        <v>496</v>
      </c>
      <c r="G78" s="241" t="s">
        <v>497</v>
      </c>
      <c r="H78" s="236" t="s">
        <v>498</v>
      </c>
      <c r="J78" s="238" t="s">
        <v>499</v>
      </c>
      <c r="K78" s="236" t="s">
        <v>500</v>
      </c>
    </row>
    <row r="79" spans="1:11">
      <c r="A79" s="239"/>
      <c r="B79" s="240"/>
      <c r="D79" s="235" t="s">
        <v>501</v>
      </c>
      <c r="E79" s="236" t="s">
        <v>502</v>
      </c>
      <c r="G79" s="241" t="s">
        <v>503</v>
      </c>
      <c r="H79" s="236" t="s">
        <v>504</v>
      </c>
      <c r="J79" s="238" t="s">
        <v>505</v>
      </c>
      <c r="K79" s="236" t="s">
        <v>506</v>
      </c>
    </row>
    <row r="80" spans="1:11">
      <c r="A80" s="239"/>
      <c r="B80" s="240"/>
      <c r="D80" s="235" t="s">
        <v>507</v>
      </c>
      <c r="E80" s="236" t="s">
        <v>508</v>
      </c>
      <c r="G80" s="241" t="s">
        <v>509</v>
      </c>
      <c r="H80" s="236" t="s">
        <v>510</v>
      </c>
      <c r="J80" s="238" t="s">
        <v>511</v>
      </c>
      <c r="K80" s="236" t="s">
        <v>512</v>
      </c>
    </row>
    <row r="81" spans="1:11">
      <c r="A81" s="239"/>
      <c r="B81" s="240"/>
      <c r="D81" s="235" t="s">
        <v>513</v>
      </c>
      <c r="E81" s="236" t="s">
        <v>514</v>
      </c>
      <c r="G81" s="241" t="s">
        <v>515</v>
      </c>
      <c r="H81" s="236" t="s">
        <v>516</v>
      </c>
      <c r="J81" s="238" t="s">
        <v>517</v>
      </c>
      <c r="K81" s="236" t="s">
        <v>518</v>
      </c>
    </row>
    <row r="82" spans="1:11">
      <c r="A82" s="239"/>
      <c r="B82" s="240"/>
      <c r="D82" s="235" t="s">
        <v>519</v>
      </c>
      <c r="E82" s="236" t="s">
        <v>520</v>
      </c>
      <c r="G82" s="241" t="s">
        <v>521</v>
      </c>
      <c r="H82" s="236" t="s">
        <v>522</v>
      </c>
      <c r="J82" s="238" t="s">
        <v>523</v>
      </c>
      <c r="K82" s="236" t="s">
        <v>524</v>
      </c>
    </row>
    <row r="83" spans="1:11">
      <c r="A83" s="239"/>
      <c r="B83" s="240"/>
      <c r="D83" s="235" t="s">
        <v>525</v>
      </c>
      <c r="E83" s="236" t="s">
        <v>526</v>
      </c>
      <c r="G83" s="241" t="s">
        <v>527</v>
      </c>
      <c r="H83" s="236" t="s">
        <v>528</v>
      </c>
      <c r="J83" s="238" t="s">
        <v>529</v>
      </c>
      <c r="K83" s="236" t="s">
        <v>530</v>
      </c>
    </row>
    <row r="84" spans="1:11">
      <c r="A84" s="239"/>
      <c r="B84" s="240"/>
      <c r="D84" s="235" t="s">
        <v>531</v>
      </c>
      <c r="E84" s="236" t="s">
        <v>532</v>
      </c>
      <c r="G84" s="241" t="s">
        <v>533</v>
      </c>
      <c r="H84" s="236" t="s">
        <v>534</v>
      </c>
      <c r="J84" s="238" t="s">
        <v>535</v>
      </c>
      <c r="K84" s="236" t="s">
        <v>536</v>
      </c>
    </row>
    <row r="85" spans="1:11">
      <c r="A85" s="239"/>
      <c r="B85" s="240"/>
      <c r="D85" s="235" t="s">
        <v>537</v>
      </c>
      <c r="E85" s="236" t="s">
        <v>538</v>
      </c>
      <c r="G85" s="241" t="s">
        <v>539</v>
      </c>
      <c r="H85" s="236" t="s">
        <v>540</v>
      </c>
      <c r="J85" s="238" t="s">
        <v>541</v>
      </c>
      <c r="K85" s="236" t="s">
        <v>542</v>
      </c>
    </row>
    <row r="86" spans="1:11">
      <c r="A86" s="239"/>
      <c r="B86" s="240"/>
      <c r="D86" s="235" t="s">
        <v>543</v>
      </c>
      <c r="E86" s="236" t="s">
        <v>544</v>
      </c>
      <c r="G86" s="241" t="s">
        <v>545</v>
      </c>
      <c r="H86" s="236" t="s">
        <v>546</v>
      </c>
      <c r="J86" s="238" t="s">
        <v>547</v>
      </c>
      <c r="K86" s="236" t="s">
        <v>548</v>
      </c>
    </row>
    <row r="87" spans="1:11">
      <c r="A87" s="239"/>
      <c r="B87" s="240"/>
      <c r="D87" s="235" t="s">
        <v>549</v>
      </c>
      <c r="E87" s="236" t="s">
        <v>550</v>
      </c>
      <c r="G87" s="241" t="s">
        <v>551</v>
      </c>
      <c r="H87" s="236" t="s">
        <v>552</v>
      </c>
      <c r="J87" s="238" t="s">
        <v>553</v>
      </c>
      <c r="K87" s="236" t="s">
        <v>554</v>
      </c>
    </row>
    <row r="88" spans="1:11">
      <c r="A88" s="239"/>
      <c r="B88" s="240"/>
      <c r="D88" s="235" t="s">
        <v>555</v>
      </c>
      <c r="E88" s="236" t="s">
        <v>556</v>
      </c>
      <c r="G88" s="241" t="s">
        <v>557</v>
      </c>
      <c r="H88" s="236" t="s">
        <v>558</v>
      </c>
      <c r="J88" s="238" t="s">
        <v>559</v>
      </c>
      <c r="K88" s="236" t="s">
        <v>58</v>
      </c>
    </row>
    <row r="89" spans="1:11">
      <c r="A89" s="239"/>
      <c r="B89" s="240"/>
      <c r="D89" s="235" t="s">
        <v>560</v>
      </c>
      <c r="E89" s="236" t="s">
        <v>561</v>
      </c>
      <c r="G89" s="241" t="s">
        <v>562</v>
      </c>
      <c r="H89" s="236" t="s">
        <v>563</v>
      </c>
      <c r="J89" s="238" t="s">
        <v>564</v>
      </c>
      <c r="K89" s="236" t="s">
        <v>64</v>
      </c>
    </row>
    <row r="90" spans="1:11">
      <c r="A90" s="239"/>
      <c r="B90" s="240"/>
      <c r="D90" s="235" t="s">
        <v>565</v>
      </c>
      <c r="E90" s="236" t="s">
        <v>566</v>
      </c>
      <c r="G90" s="241" t="s">
        <v>567</v>
      </c>
      <c r="H90" s="236" t="s">
        <v>568</v>
      </c>
      <c r="J90" s="238" t="s">
        <v>569</v>
      </c>
      <c r="K90" s="236" t="s">
        <v>202</v>
      </c>
    </row>
    <row r="91" spans="1:11">
      <c r="A91" s="239"/>
      <c r="B91" s="240"/>
      <c r="D91" s="235" t="s">
        <v>570</v>
      </c>
      <c r="E91" s="236" t="s">
        <v>571</v>
      </c>
      <c r="G91" s="241" t="s">
        <v>572</v>
      </c>
      <c r="H91" s="236" t="s">
        <v>573</v>
      </c>
      <c r="J91" s="238" t="s">
        <v>574</v>
      </c>
      <c r="K91" s="236" t="s">
        <v>575</v>
      </c>
    </row>
    <row r="92" spans="1:11">
      <c r="A92" s="239"/>
      <c r="B92" s="240"/>
      <c r="D92" s="235" t="s">
        <v>576</v>
      </c>
      <c r="E92" s="236" t="s">
        <v>577</v>
      </c>
      <c r="G92" s="241" t="s">
        <v>578</v>
      </c>
      <c r="H92" s="236" t="s">
        <v>579</v>
      </c>
      <c r="J92" s="238" t="s">
        <v>580</v>
      </c>
      <c r="K92" s="236" t="s">
        <v>581</v>
      </c>
    </row>
    <row r="93" spans="1:11">
      <c r="A93" s="239"/>
      <c r="B93" s="240"/>
      <c r="D93" s="235" t="s">
        <v>582</v>
      </c>
      <c r="E93" s="236" t="s">
        <v>583</v>
      </c>
      <c r="G93" s="241" t="s">
        <v>584</v>
      </c>
      <c r="H93" s="236" t="s">
        <v>585</v>
      </c>
      <c r="J93" s="238" t="s">
        <v>586</v>
      </c>
      <c r="K93" s="236" t="s">
        <v>587</v>
      </c>
    </row>
    <row r="94" spans="1:11">
      <c r="A94" s="239"/>
      <c r="B94" s="240"/>
      <c r="D94" s="235" t="s">
        <v>588</v>
      </c>
      <c r="E94" s="236" t="s">
        <v>589</v>
      </c>
      <c r="G94" s="241" t="s">
        <v>590</v>
      </c>
      <c r="H94" s="236" t="s">
        <v>591</v>
      </c>
      <c r="J94" s="238" t="s">
        <v>592</v>
      </c>
      <c r="K94" s="236" t="s">
        <v>213</v>
      </c>
    </row>
    <row r="95" spans="1:11">
      <c r="A95" s="239"/>
      <c r="B95" s="240"/>
      <c r="D95" s="235" t="s">
        <v>593</v>
      </c>
      <c r="E95" s="236" t="s">
        <v>594</v>
      </c>
      <c r="G95" s="241" t="s">
        <v>595</v>
      </c>
      <c r="H95" s="236" t="s">
        <v>596</v>
      </c>
      <c r="J95" s="238" t="s">
        <v>597</v>
      </c>
      <c r="K95" s="236" t="s">
        <v>219</v>
      </c>
    </row>
    <row r="96" spans="1:11">
      <c r="A96" s="239"/>
      <c r="B96" s="240"/>
      <c r="D96" s="235" t="s">
        <v>598</v>
      </c>
      <c r="E96" s="236" t="s">
        <v>599</v>
      </c>
      <c r="G96" s="241" t="s">
        <v>600</v>
      </c>
      <c r="H96" s="236" t="s">
        <v>601</v>
      </c>
      <c r="J96" s="238" t="s">
        <v>602</v>
      </c>
      <c r="K96" s="236" t="s">
        <v>225</v>
      </c>
    </row>
    <row r="97" spans="1:11">
      <c r="A97" s="239"/>
      <c r="B97" s="240"/>
      <c r="D97" s="235" t="s">
        <v>603</v>
      </c>
      <c r="E97" s="236" t="s">
        <v>604</v>
      </c>
      <c r="G97" s="241" t="s">
        <v>605</v>
      </c>
      <c r="H97" s="236" t="s">
        <v>606</v>
      </c>
      <c r="J97" s="238" t="s">
        <v>607</v>
      </c>
      <c r="K97" s="236" t="s">
        <v>231</v>
      </c>
    </row>
    <row r="98" spans="1:11">
      <c r="A98" s="239"/>
      <c r="B98" s="240"/>
      <c r="D98" s="235" t="s">
        <v>608</v>
      </c>
      <c r="E98" s="236" t="s">
        <v>609</v>
      </c>
      <c r="G98" s="241" t="s">
        <v>610</v>
      </c>
      <c r="H98" s="236" t="s">
        <v>611</v>
      </c>
      <c r="J98" s="238" t="s">
        <v>612</v>
      </c>
      <c r="K98" s="236" t="s">
        <v>58</v>
      </c>
    </row>
    <row r="99" spans="1:11">
      <c r="A99" s="239"/>
      <c r="B99" s="240"/>
      <c r="D99" s="235" t="s">
        <v>613</v>
      </c>
      <c r="E99" s="236" t="s">
        <v>614</v>
      </c>
      <c r="G99" s="241" t="s">
        <v>615</v>
      </c>
      <c r="H99" s="236" t="s">
        <v>616</v>
      </c>
      <c r="J99" s="238" t="s">
        <v>617</v>
      </c>
      <c r="K99" s="236" t="s">
        <v>64</v>
      </c>
    </row>
    <row r="100" spans="1:11">
      <c r="A100" s="239"/>
      <c r="B100" s="240"/>
      <c r="D100" s="235" t="s">
        <v>618</v>
      </c>
      <c r="E100" s="236" t="s">
        <v>619</v>
      </c>
      <c r="G100" s="241" t="s">
        <v>620</v>
      </c>
      <c r="H100" s="236" t="s">
        <v>621</v>
      </c>
      <c r="J100" s="238" t="s">
        <v>622</v>
      </c>
      <c r="K100" s="236" t="s">
        <v>623</v>
      </c>
    </row>
    <row r="101" spans="1:11">
      <c r="G101" s="241" t="s">
        <v>624</v>
      </c>
      <c r="H101" s="236" t="s">
        <v>625</v>
      </c>
      <c r="J101" s="238" t="s">
        <v>626</v>
      </c>
      <c r="K101" s="236" t="s">
        <v>627</v>
      </c>
    </row>
    <row r="102" spans="1:11">
      <c r="G102" s="241" t="s">
        <v>628</v>
      </c>
      <c r="H102" s="236" t="s">
        <v>629</v>
      </c>
      <c r="J102" s="238" t="s">
        <v>630</v>
      </c>
      <c r="K102" s="236" t="s">
        <v>631</v>
      </c>
    </row>
    <row r="103" spans="1:11">
      <c r="G103" s="241" t="s">
        <v>632</v>
      </c>
      <c r="H103" s="236" t="s">
        <v>633</v>
      </c>
      <c r="J103" s="238" t="s">
        <v>634</v>
      </c>
      <c r="K103" s="236" t="s">
        <v>635</v>
      </c>
    </row>
    <row r="104" spans="1:11">
      <c r="G104" s="241" t="s">
        <v>636</v>
      </c>
      <c r="H104" s="236" t="s">
        <v>637</v>
      </c>
      <c r="J104" s="238" t="s">
        <v>638</v>
      </c>
      <c r="K104" s="236" t="s">
        <v>639</v>
      </c>
    </row>
    <row r="105" spans="1:11">
      <c r="G105" s="241" t="s">
        <v>640</v>
      </c>
      <c r="H105" s="236" t="s">
        <v>641</v>
      </c>
      <c r="J105" s="238" t="s">
        <v>642</v>
      </c>
      <c r="K105" s="236" t="s">
        <v>643</v>
      </c>
    </row>
    <row r="106" spans="1:11">
      <c r="G106" s="241" t="s">
        <v>644</v>
      </c>
      <c r="H106" s="236" t="s">
        <v>645</v>
      </c>
      <c r="J106" s="238" t="s">
        <v>646</v>
      </c>
      <c r="K106" s="236" t="s">
        <v>647</v>
      </c>
    </row>
    <row r="107" spans="1:11">
      <c r="G107" s="241" t="s">
        <v>648</v>
      </c>
      <c r="H107" s="236" t="s">
        <v>649</v>
      </c>
      <c r="J107" s="238" t="s">
        <v>650</v>
      </c>
      <c r="K107" s="236" t="s">
        <v>651</v>
      </c>
    </row>
    <row r="108" spans="1:11">
      <c r="G108" s="241" t="s">
        <v>652</v>
      </c>
      <c r="H108" s="236" t="s">
        <v>653</v>
      </c>
      <c r="J108" s="238" t="s">
        <v>654</v>
      </c>
      <c r="K108" s="236" t="s">
        <v>655</v>
      </c>
    </row>
    <row r="109" spans="1:11">
      <c r="G109" s="241" t="s">
        <v>656</v>
      </c>
      <c r="H109" s="236" t="s">
        <v>657</v>
      </c>
      <c r="J109" s="238" t="s">
        <v>658</v>
      </c>
      <c r="K109" s="236" t="s">
        <v>659</v>
      </c>
    </row>
    <row r="110" spans="1:11">
      <c r="G110" s="241" t="s">
        <v>660</v>
      </c>
      <c r="H110" s="236" t="s">
        <v>661</v>
      </c>
      <c r="J110" s="238" t="s">
        <v>662</v>
      </c>
      <c r="K110" s="236" t="s">
        <v>663</v>
      </c>
    </row>
    <row r="111" spans="1:11">
      <c r="G111" s="241" t="s">
        <v>664</v>
      </c>
      <c r="H111" s="236" t="s">
        <v>665</v>
      </c>
      <c r="J111" s="238" t="s">
        <v>666</v>
      </c>
      <c r="K111" s="236" t="s">
        <v>264</v>
      </c>
    </row>
    <row r="112" spans="1:11">
      <c r="G112" s="241" t="s">
        <v>667</v>
      </c>
      <c r="H112" s="236" t="s">
        <v>668</v>
      </c>
      <c r="J112" s="238" t="s">
        <v>669</v>
      </c>
      <c r="K112" s="236" t="s">
        <v>670</v>
      </c>
    </row>
    <row r="113" spans="7:11">
      <c r="G113" s="241" t="s">
        <v>671</v>
      </c>
      <c r="H113" s="236" t="s">
        <v>672</v>
      </c>
      <c r="J113" s="238" t="s">
        <v>673</v>
      </c>
      <c r="K113" s="236" t="s">
        <v>674</v>
      </c>
    </row>
    <row r="114" spans="7:11">
      <c r="G114" s="241" t="s">
        <v>675</v>
      </c>
      <c r="H114" s="236" t="s">
        <v>676</v>
      </c>
      <c r="J114" s="238" t="s">
        <v>677</v>
      </c>
      <c r="K114" s="236" t="s">
        <v>678</v>
      </c>
    </row>
    <row r="115" spans="7:11">
      <c r="G115" s="241" t="s">
        <v>679</v>
      </c>
      <c r="H115" s="236" t="s">
        <v>680</v>
      </c>
      <c r="J115" s="238" t="s">
        <v>681</v>
      </c>
      <c r="K115" s="236" t="s">
        <v>682</v>
      </c>
    </row>
    <row r="116" spans="7:11">
      <c r="G116" s="241" t="s">
        <v>683</v>
      </c>
      <c r="H116" s="236" t="s">
        <v>684</v>
      </c>
      <c r="J116" s="238" t="s">
        <v>685</v>
      </c>
      <c r="K116" s="236" t="s">
        <v>686</v>
      </c>
    </row>
    <row r="117" spans="7:11">
      <c r="G117" s="241" t="s">
        <v>687</v>
      </c>
      <c r="H117" s="236" t="s">
        <v>688</v>
      </c>
      <c r="J117" s="238" t="s">
        <v>689</v>
      </c>
      <c r="K117" s="236" t="s">
        <v>690</v>
      </c>
    </row>
    <row r="118" spans="7:11">
      <c r="G118" s="241" t="s">
        <v>691</v>
      </c>
      <c r="H118" s="236" t="s">
        <v>692</v>
      </c>
      <c r="J118" s="238" t="s">
        <v>693</v>
      </c>
      <c r="K118" s="236" t="s">
        <v>694</v>
      </c>
    </row>
    <row r="119" spans="7:11">
      <c r="G119" s="241" t="s">
        <v>695</v>
      </c>
      <c r="H119" s="236" t="s">
        <v>696</v>
      </c>
      <c r="J119" s="238" t="s">
        <v>697</v>
      </c>
      <c r="K119" s="236" t="s">
        <v>698</v>
      </c>
    </row>
    <row r="120" spans="7:11">
      <c r="G120" s="241" t="s">
        <v>699</v>
      </c>
      <c r="H120" s="236" t="s">
        <v>700</v>
      </c>
      <c r="J120" s="238" t="s">
        <v>701</v>
      </c>
      <c r="K120" s="236" t="s">
        <v>702</v>
      </c>
    </row>
    <row r="121" spans="7:11">
      <c r="G121" s="241" t="s">
        <v>703</v>
      </c>
      <c r="H121" s="236" t="s">
        <v>704</v>
      </c>
      <c r="J121" s="238" t="s">
        <v>705</v>
      </c>
      <c r="K121" s="236" t="s">
        <v>706</v>
      </c>
    </row>
    <row r="122" spans="7:11">
      <c r="G122" s="241" t="s">
        <v>707</v>
      </c>
      <c r="H122" s="236" t="s">
        <v>708</v>
      </c>
      <c r="J122" s="238" t="s">
        <v>709</v>
      </c>
      <c r="K122" s="236" t="s">
        <v>710</v>
      </c>
    </row>
    <row r="123" spans="7:11">
      <c r="G123" s="241" t="s">
        <v>711</v>
      </c>
      <c r="H123" s="236" t="s">
        <v>712</v>
      </c>
      <c r="J123" s="238" t="s">
        <v>713</v>
      </c>
      <c r="K123" s="236" t="s">
        <v>714</v>
      </c>
    </row>
    <row r="124" spans="7:11">
      <c r="G124" s="241" t="s">
        <v>715</v>
      </c>
      <c r="H124" s="236" t="s">
        <v>716</v>
      </c>
      <c r="J124" s="238" t="s">
        <v>717</v>
      </c>
      <c r="K124" s="236" t="s">
        <v>718</v>
      </c>
    </row>
    <row r="125" spans="7:11">
      <c r="G125" s="241" t="s">
        <v>719</v>
      </c>
      <c r="H125" s="236" t="s">
        <v>720</v>
      </c>
      <c r="J125" s="238" t="s">
        <v>721</v>
      </c>
      <c r="K125" s="236" t="s">
        <v>722</v>
      </c>
    </row>
    <row r="126" spans="7:11">
      <c r="G126" s="241" t="s">
        <v>723</v>
      </c>
      <c r="H126" s="236" t="s">
        <v>724</v>
      </c>
      <c r="J126" s="238" t="s">
        <v>725</v>
      </c>
      <c r="K126" s="236" t="s">
        <v>58</v>
      </c>
    </row>
    <row r="127" spans="7:11">
      <c r="G127" s="241" t="s">
        <v>726</v>
      </c>
      <c r="H127" s="236" t="s">
        <v>727</v>
      </c>
      <c r="J127" s="238" t="s">
        <v>728</v>
      </c>
      <c r="K127" s="236" t="s">
        <v>64</v>
      </c>
    </row>
    <row r="128" spans="7:11">
      <c r="G128" s="241" t="s">
        <v>729</v>
      </c>
      <c r="H128" s="236" t="s">
        <v>730</v>
      </c>
      <c r="J128" s="238" t="s">
        <v>731</v>
      </c>
      <c r="K128" s="236" t="s">
        <v>732</v>
      </c>
    </row>
    <row r="129" spans="7:11">
      <c r="G129" s="241" t="s">
        <v>733</v>
      </c>
      <c r="H129" s="236" t="s">
        <v>734</v>
      </c>
      <c r="J129" s="238" t="s">
        <v>735</v>
      </c>
      <c r="K129" s="236" t="s">
        <v>736</v>
      </c>
    </row>
    <row r="130" spans="7:11">
      <c r="G130" s="241" t="s">
        <v>737</v>
      </c>
      <c r="H130" s="236" t="s">
        <v>738</v>
      </c>
      <c r="J130" s="238" t="s">
        <v>739</v>
      </c>
      <c r="K130" s="236" t="s">
        <v>740</v>
      </c>
    </row>
    <row r="131" spans="7:11">
      <c r="G131" s="241" t="s">
        <v>741</v>
      </c>
      <c r="H131" s="236" t="s">
        <v>742</v>
      </c>
      <c r="J131" s="238" t="s">
        <v>743</v>
      </c>
      <c r="K131" s="236" t="s">
        <v>744</v>
      </c>
    </row>
    <row r="132" spans="7:11">
      <c r="G132" s="241" t="s">
        <v>745</v>
      </c>
      <c r="H132" s="236" t="s">
        <v>746</v>
      </c>
      <c r="J132" s="238" t="s">
        <v>747</v>
      </c>
      <c r="K132" s="236" t="s">
        <v>748</v>
      </c>
    </row>
    <row r="133" spans="7:11">
      <c r="G133" s="241" t="s">
        <v>749</v>
      </c>
      <c r="H133" s="236" t="s">
        <v>750</v>
      </c>
      <c r="J133" s="238" t="s">
        <v>751</v>
      </c>
      <c r="K133" s="236" t="s">
        <v>752</v>
      </c>
    </row>
    <row r="134" spans="7:11">
      <c r="G134" s="241" t="s">
        <v>753</v>
      </c>
      <c r="H134" s="236" t="s">
        <v>754</v>
      </c>
      <c r="J134" s="238" t="s">
        <v>755</v>
      </c>
      <c r="K134" s="236" t="s">
        <v>756</v>
      </c>
    </row>
    <row r="135" spans="7:11">
      <c r="G135" s="241" t="s">
        <v>757</v>
      </c>
      <c r="H135" s="236" t="s">
        <v>758</v>
      </c>
      <c r="J135" s="238" t="s">
        <v>759</v>
      </c>
      <c r="K135" s="236" t="s">
        <v>760</v>
      </c>
    </row>
    <row r="136" spans="7:11">
      <c r="G136" s="241" t="s">
        <v>761</v>
      </c>
      <c r="H136" s="236" t="s">
        <v>762</v>
      </c>
      <c r="J136" s="238" t="s">
        <v>763</v>
      </c>
      <c r="K136" s="236" t="s">
        <v>764</v>
      </c>
    </row>
    <row r="137" spans="7:11">
      <c r="G137" s="241" t="s">
        <v>765</v>
      </c>
      <c r="H137" s="236" t="s">
        <v>766</v>
      </c>
      <c r="J137" s="238" t="s">
        <v>767</v>
      </c>
      <c r="K137" s="236" t="s">
        <v>768</v>
      </c>
    </row>
    <row r="138" spans="7:11">
      <c r="G138" s="241" t="s">
        <v>769</v>
      </c>
      <c r="H138" s="236" t="s">
        <v>770</v>
      </c>
      <c r="J138" s="238" t="s">
        <v>771</v>
      </c>
      <c r="K138" s="236" t="s">
        <v>772</v>
      </c>
    </row>
    <row r="139" spans="7:11">
      <c r="G139" s="241" t="s">
        <v>773</v>
      </c>
      <c r="H139" s="236" t="s">
        <v>774</v>
      </c>
      <c r="J139" s="238" t="s">
        <v>775</v>
      </c>
      <c r="K139" s="236" t="s">
        <v>776</v>
      </c>
    </row>
    <row r="140" spans="7:11">
      <c r="G140" s="241" t="s">
        <v>777</v>
      </c>
      <c r="H140" s="236" t="s">
        <v>778</v>
      </c>
      <c r="J140" s="238" t="s">
        <v>779</v>
      </c>
      <c r="K140" s="236" t="s">
        <v>780</v>
      </c>
    </row>
    <row r="141" spans="7:11">
      <c r="G141" s="241" t="s">
        <v>781</v>
      </c>
      <c r="H141" s="236" t="s">
        <v>782</v>
      </c>
      <c r="J141" s="238" t="s">
        <v>783</v>
      </c>
      <c r="K141" s="236" t="s">
        <v>784</v>
      </c>
    </row>
    <row r="142" spans="7:11">
      <c r="G142" s="241" t="s">
        <v>785</v>
      </c>
      <c r="H142" s="236" t="s">
        <v>786</v>
      </c>
      <c r="J142" s="238" t="s">
        <v>787</v>
      </c>
      <c r="K142" s="236" t="s">
        <v>788</v>
      </c>
    </row>
    <row r="143" spans="7:11">
      <c r="G143" s="241" t="s">
        <v>789</v>
      </c>
      <c r="H143" s="236" t="s">
        <v>790</v>
      </c>
      <c r="J143" s="238" t="s">
        <v>791</v>
      </c>
      <c r="K143" s="236" t="s">
        <v>58</v>
      </c>
    </row>
    <row r="144" spans="7:11">
      <c r="G144" s="241" t="s">
        <v>792</v>
      </c>
      <c r="H144" s="236" t="s">
        <v>793</v>
      </c>
      <c r="J144" s="238" t="s">
        <v>794</v>
      </c>
      <c r="K144" s="236" t="s">
        <v>64</v>
      </c>
    </row>
    <row r="145" spans="7:11">
      <c r="G145" s="241" t="s">
        <v>795</v>
      </c>
      <c r="H145" s="236" t="s">
        <v>796</v>
      </c>
      <c r="J145" s="238" t="s">
        <v>797</v>
      </c>
      <c r="K145" s="236" t="s">
        <v>798</v>
      </c>
    </row>
    <row r="146" spans="7:11">
      <c r="G146" s="241" t="s">
        <v>799</v>
      </c>
      <c r="H146" s="236" t="s">
        <v>800</v>
      </c>
      <c r="J146" s="238" t="s">
        <v>801</v>
      </c>
      <c r="K146" s="236" t="s">
        <v>802</v>
      </c>
    </row>
    <row r="147" spans="7:11">
      <c r="G147" s="241" t="s">
        <v>803</v>
      </c>
      <c r="H147" s="236" t="s">
        <v>804</v>
      </c>
      <c r="J147" s="238" t="s">
        <v>805</v>
      </c>
      <c r="K147" s="236" t="s">
        <v>806</v>
      </c>
    </row>
    <row r="148" spans="7:11">
      <c r="G148" s="241" t="s">
        <v>807</v>
      </c>
      <c r="H148" s="236" t="s">
        <v>808</v>
      </c>
      <c r="J148" s="238" t="s">
        <v>809</v>
      </c>
      <c r="K148" s="236" t="s">
        <v>810</v>
      </c>
    </row>
    <row r="149" spans="7:11">
      <c r="G149" s="241" t="s">
        <v>811</v>
      </c>
      <c r="H149" s="236" t="s">
        <v>812</v>
      </c>
      <c r="J149" s="238" t="s">
        <v>813</v>
      </c>
      <c r="K149" s="236" t="s">
        <v>814</v>
      </c>
    </row>
    <row r="150" spans="7:11">
      <c r="G150" s="241" t="s">
        <v>815</v>
      </c>
      <c r="H150" s="236" t="s">
        <v>816</v>
      </c>
      <c r="J150" s="238" t="s">
        <v>817</v>
      </c>
      <c r="K150" s="236" t="s">
        <v>818</v>
      </c>
    </row>
    <row r="151" spans="7:11">
      <c r="G151" s="241" t="s">
        <v>819</v>
      </c>
      <c r="H151" s="236" t="s">
        <v>820</v>
      </c>
      <c r="J151" s="238" t="s">
        <v>821</v>
      </c>
      <c r="K151" s="236" t="s">
        <v>822</v>
      </c>
    </row>
    <row r="152" spans="7:11">
      <c r="G152" s="241" t="s">
        <v>823</v>
      </c>
      <c r="H152" s="236" t="s">
        <v>824</v>
      </c>
      <c r="J152" s="238" t="s">
        <v>825</v>
      </c>
      <c r="K152" s="236" t="s">
        <v>826</v>
      </c>
    </row>
    <row r="153" spans="7:11">
      <c r="G153" s="241" t="s">
        <v>827</v>
      </c>
      <c r="H153" s="236" t="s">
        <v>828</v>
      </c>
      <c r="J153" s="238" t="s">
        <v>829</v>
      </c>
      <c r="K153" s="236" t="s">
        <v>830</v>
      </c>
    </row>
    <row r="154" spans="7:11">
      <c r="G154" s="241" t="s">
        <v>831</v>
      </c>
      <c r="H154" s="236" t="s">
        <v>832</v>
      </c>
      <c r="J154" s="238" t="s">
        <v>833</v>
      </c>
      <c r="K154" s="236" t="s">
        <v>834</v>
      </c>
    </row>
    <row r="155" spans="7:11">
      <c r="G155" s="241" t="s">
        <v>835</v>
      </c>
      <c r="H155" s="236" t="s">
        <v>836</v>
      </c>
      <c r="J155" s="238" t="s">
        <v>837</v>
      </c>
      <c r="K155" s="236" t="s">
        <v>838</v>
      </c>
    </row>
    <row r="156" spans="7:11">
      <c r="G156" s="241" t="s">
        <v>839</v>
      </c>
      <c r="H156" s="236" t="s">
        <v>840</v>
      </c>
      <c r="J156" s="238" t="s">
        <v>841</v>
      </c>
      <c r="K156" s="236" t="s">
        <v>842</v>
      </c>
    </row>
    <row r="157" spans="7:11">
      <c r="G157" s="241" t="s">
        <v>843</v>
      </c>
      <c r="H157" s="236" t="s">
        <v>844</v>
      </c>
      <c r="J157" s="238" t="s">
        <v>845</v>
      </c>
      <c r="K157" s="236" t="s">
        <v>846</v>
      </c>
    </row>
    <row r="158" spans="7:11">
      <c r="G158" s="241" t="s">
        <v>847</v>
      </c>
      <c r="H158" s="236" t="s">
        <v>848</v>
      </c>
      <c r="J158" s="238" t="s">
        <v>849</v>
      </c>
      <c r="K158" s="236" t="s">
        <v>850</v>
      </c>
    </row>
    <row r="159" spans="7:11">
      <c r="G159" s="241" t="s">
        <v>851</v>
      </c>
      <c r="H159" s="236" t="s">
        <v>852</v>
      </c>
      <c r="J159" s="238" t="s">
        <v>853</v>
      </c>
      <c r="K159" s="236" t="s">
        <v>854</v>
      </c>
    </row>
    <row r="160" spans="7:11">
      <c r="G160" s="241" t="s">
        <v>855</v>
      </c>
      <c r="H160" s="236" t="s">
        <v>856</v>
      </c>
      <c r="J160" s="238" t="s">
        <v>857</v>
      </c>
      <c r="K160" s="236" t="s">
        <v>858</v>
      </c>
    </row>
    <row r="161" spans="7:11">
      <c r="G161" s="241" t="s">
        <v>859</v>
      </c>
      <c r="H161" s="236" t="s">
        <v>860</v>
      </c>
      <c r="J161" s="238" t="s">
        <v>861</v>
      </c>
      <c r="K161" s="236" t="s">
        <v>862</v>
      </c>
    </row>
    <row r="162" spans="7:11">
      <c r="G162" s="241" t="s">
        <v>863</v>
      </c>
      <c r="H162" s="236" t="s">
        <v>864</v>
      </c>
      <c r="J162" s="238" t="s">
        <v>865</v>
      </c>
      <c r="K162" s="236" t="s">
        <v>866</v>
      </c>
    </row>
    <row r="163" spans="7:11">
      <c r="G163" s="241" t="s">
        <v>867</v>
      </c>
      <c r="H163" s="236" t="s">
        <v>868</v>
      </c>
      <c r="J163" s="238" t="s">
        <v>869</v>
      </c>
      <c r="K163" s="236" t="s">
        <v>870</v>
      </c>
    </row>
    <row r="164" spans="7:11">
      <c r="G164" s="241" t="s">
        <v>871</v>
      </c>
      <c r="H164" s="236" t="s">
        <v>872</v>
      </c>
      <c r="J164" s="238" t="s">
        <v>873</v>
      </c>
      <c r="K164" s="236" t="s">
        <v>874</v>
      </c>
    </row>
    <row r="165" spans="7:11">
      <c r="G165" s="241" t="s">
        <v>875</v>
      </c>
      <c r="H165" s="236" t="s">
        <v>876</v>
      </c>
      <c r="J165" s="238" t="s">
        <v>877</v>
      </c>
      <c r="K165" s="236" t="s">
        <v>878</v>
      </c>
    </row>
    <row r="166" spans="7:11">
      <c r="G166" s="241" t="s">
        <v>879</v>
      </c>
      <c r="H166" s="236" t="s">
        <v>880</v>
      </c>
      <c r="J166" s="238" t="s">
        <v>881</v>
      </c>
      <c r="K166" s="236" t="s">
        <v>882</v>
      </c>
    </row>
    <row r="167" spans="7:11">
      <c r="G167" s="241" t="s">
        <v>883</v>
      </c>
      <c r="H167" s="236" t="s">
        <v>884</v>
      </c>
      <c r="J167" s="238" t="s">
        <v>885</v>
      </c>
      <c r="K167" s="236" t="s">
        <v>886</v>
      </c>
    </row>
    <row r="168" spans="7:11">
      <c r="G168" s="241" t="s">
        <v>887</v>
      </c>
      <c r="H168" s="236" t="s">
        <v>888</v>
      </c>
      <c r="J168" s="238" t="s">
        <v>889</v>
      </c>
      <c r="K168" s="236" t="s">
        <v>890</v>
      </c>
    </row>
    <row r="169" spans="7:11">
      <c r="G169" s="241" t="s">
        <v>891</v>
      </c>
      <c r="H169" s="236" t="s">
        <v>892</v>
      </c>
      <c r="J169" s="238" t="s">
        <v>893</v>
      </c>
      <c r="K169" s="236" t="s">
        <v>894</v>
      </c>
    </row>
    <row r="170" spans="7:11">
      <c r="G170" s="241" t="s">
        <v>895</v>
      </c>
      <c r="H170" s="236" t="s">
        <v>896</v>
      </c>
      <c r="J170" s="238" t="s">
        <v>897</v>
      </c>
      <c r="K170" s="236" t="s">
        <v>898</v>
      </c>
    </row>
    <row r="171" spans="7:11">
      <c r="G171" s="241" t="s">
        <v>899</v>
      </c>
      <c r="H171" s="236" t="s">
        <v>900</v>
      </c>
      <c r="J171" s="238" t="s">
        <v>901</v>
      </c>
      <c r="K171" s="236" t="s">
        <v>902</v>
      </c>
    </row>
    <row r="172" spans="7:11">
      <c r="G172" s="241" t="s">
        <v>903</v>
      </c>
      <c r="H172" s="236" t="s">
        <v>904</v>
      </c>
      <c r="J172" s="238" t="s">
        <v>905</v>
      </c>
      <c r="K172" s="236" t="s">
        <v>906</v>
      </c>
    </row>
    <row r="173" spans="7:11">
      <c r="G173" s="241" t="s">
        <v>907</v>
      </c>
      <c r="H173" s="236" t="s">
        <v>908</v>
      </c>
      <c r="J173" s="238" t="s">
        <v>909</v>
      </c>
      <c r="K173" s="236" t="s">
        <v>910</v>
      </c>
    </row>
    <row r="174" spans="7:11">
      <c r="G174" s="241" t="s">
        <v>911</v>
      </c>
      <c r="H174" s="236" t="s">
        <v>912</v>
      </c>
      <c r="J174" s="238" t="s">
        <v>913</v>
      </c>
      <c r="K174" s="236" t="s">
        <v>914</v>
      </c>
    </row>
    <row r="175" spans="7:11">
      <c r="G175" s="241" t="s">
        <v>915</v>
      </c>
      <c r="H175" s="236" t="s">
        <v>916</v>
      </c>
      <c r="J175" s="238" t="s">
        <v>917</v>
      </c>
      <c r="K175" s="236" t="s">
        <v>918</v>
      </c>
    </row>
    <row r="176" spans="7:11">
      <c r="G176" s="241" t="s">
        <v>919</v>
      </c>
      <c r="H176" s="236" t="s">
        <v>920</v>
      </c>
      <c r="J176" s="238" t="s">
        <v>921</v>
      </c>
      <c r="K176" s="236" t="s">
        <v>922</v>
      </c>
    </row>
    <row r="177" spans="7:11">
      <c r="G177" s="241" t="s">
        <v>923</v>
      </c>
      <c r="H177" s="236" t="s">
        <v>924</v>
      </c>
      <c r="J177" s="238" t="s">
        <v>925</v>
      </c>
      <c r="K177" s="236" t="s">
        <v>926</v>
      </c>
    </row>
    <row r="178" spans="7:11">
      <c r="G178" s="241" t="s">
        <v>927</v>
      </c>
      <c r="H178" s="236" t="s">
        <v>928</v>
      </c>
      <c r="J178" s="238" t="s">
        <v>929</v>
      </c>
      <c r="K178" s="236" t="s">
        <v>930</v>
      </c>
    </row>
    <row r="179" spans="7:11">
      <c r="G179" s="241" t="s">
        <v>931</v>
      </c>
      <c r="H179" s="236" t="s">
        <v>932</v>
      </c>
      <c r="J179" s="238" t="s">
        <v>933</v>
      </c>
      <c r="K179" s="236" t="s">
        <v>934</v>
      </c>
    </row>
    <row r="180" spans="7:11">
      <c r="G180" s="241" t="s">
        <v>935</v>
      </c>
      <c r="H180" s="236" t="s">
        <v>936</v>
      </c>
      <c r="J180" s="238" t="s">
        <v>937</v>
      </c>
      <c r="K180" s="236" t="s">
        <v>938</v>
      </c>
    </row>
    <row r="181" spans="7:11">
      <c r="G181" s="241" t="s">
        <v>939</v>
      </c>
      <c r="H181" s="236" t="s">
        <v>940</v>
      </c>
      <c r="J181" s="238" t="s">
        <v>941</v>
      </c>
      <c r="K181" s="236" t="s">
        <v>942</v>
      </c>
    </row>
    <row r="182" spans="7:11">
      <c r="G182" s="241" t="s">
        <v>943</v>
      </c>
      <c r="H182" s="236" t="s">
        <v>944</v>
      </c>
      <c r="J182" s="238" t="s">
        <v>945</v>
      </c>
      <c r="K182" s="236" t="s">
        <v>946</v>
      </c>
    </row>
    <row r="183" spans="7:11">
      <c r="G183" s="241" t="s">
        <v>947</v>
      </c>
      <c r="H183" s="236" t="s">
        <v>948</v>
      </c>
      <c r="J183" s="238" t="s">
        <v>949</v>
      </c>
      <c r="K183" s="236" t="s">
        <v>950</v>
      </c>
    </row>
    <row r="184" spans="7:11">
      <c r="G184" s="241" t="s">
        <v>951</v>
      </c>
      <c r="H184" s="236" t="s">
        <v>952</v>
      </c>
      <c r="J184" s="238" t="s">
        <v>953</v>
      </c>
      <c r="K184" s="236" t="s">
        <v>954</v>
      </c>
    </row>
    <row r="185" spans="7:11">
      <c r="G185" s="241" t="s">
        <v>955</v>
      </c>
      <c r="H185" s="236" t="s">
        <v>956</v>
      </c>
      <c r="J185" s="238" t="s">
        <v>957</v>
      </c>
      <c r="K185" s="236" t="s">
        <v>958</v>
      </c>
    </row>
    <row r="186" spans="7:11">
      <c r="G186" s="241" t="s">
        <v>959</v>
      </c>
      <c r="H186" s="236" t="s">
        <v>960</v>
      </c>
      <c r="J186" s="238" t="s">
        <v>961</v>
      </c>
      <c r="K186" s="236" t="s">
        <v>58</v>
      </c>
    </row>
    <row r="187" spans="7:11">
      <c r="G187" s="241" t="s">
        <v>962</v>
      </c>
      <c r="H187" s="236" t="s">
        <v>963</v>
      </c>
      <c r="J187" s="238" t="s">
        <v>964</v>
      </c>
      <c r="K187" s="236" t="s">
        <v>64</v>
      </c>
    </row>
    <row r="188" spans="7:11">
      <c r="G188" s="241" t="s">
        <v>965</v>
      </c>
      <c r="H188" s="236" t="s">
        <v>966</v>
      </c>
      <c r="J188" s="238" t="s">
        <v>967</v>
      </c>
      <c r="K188" s="236" t="s">
        <v>390</v>
      </c>
    </row>
    <row r="189" spans="7:11">
      <c r="G189" s="241" t="s">
        <v>968</v>
      </c>
      <c r="H189" s="236" t="s">
        <v>969</v>
      </c>
      <c r="J189" s="238" t="s">
        <v>970</v>
      </c>
      <c r="K189" s="236" t="s">
        <v>971</v>
      </c>
    </row>
    <row r="190" spans="7:11">
      <c r="G190" s="241" t="s">
        <v>972</v>
      </c>
      <c r="H190" s="236" t="s">
        <v>973</v>
      </c>
      <c r="J190" s="238" t="s">
        <v>974</v>
      </c>
      <c r="K190" s="236" t="s">
        <v>975</v>
      </c>
    </row>
    <row r="191" spans="7:11">
      <c r="G191" s="241" t="s">
        <v>976</v>
      </c>
      <c r="H191" s="236" t="s">
        <v>977</v>
      </c>
      <c r="J191" s="238" t="s">
        <v>978</v>
      </c>
      <c r="K191" s="236" t="s">
        <v>979</v>
      </c>
    </row>
    <row r="192" spans="7:11">
      <c r="G192" s="241" t="s">
        <v>980</v>
      </c>
      <c r="H192" s="236" t="s">
        <v>981</v>
      </c>
      <c r="J192" s="238" t="s">
        <v>982</v>
      </c>
      <c r="K192" s="236" t="s">
        <v>983</v>
      </c>
    </row>
    <row r="193" spans="7:11">
      <c r="G193" s="241" t="s">
        <v>984</v>
      </c>
      <c r="H193" s="236" t="s">
        <v>985</v>
      </c>
      <c r="J193" s="238" t="s">
        <v>986</v>
      </c>
      <c r="K193" s="236" t="s">
        <v>987</v>
      </c>
    </row>
    <row r="194" spans="7:11">
      <c r="G194" s="241" t="s">
        <v>988</v>
      </c>
      <c r="H194" s="236" t="s">
        <v>989</v>
      </c>
      <c r="J194" s="238" t="s">
        <v>990</v>
      </c>
      <c r="K194" s="236" t="s">
        <v>991</v>
      </c>
    </row>
    <row r="195" spans="7:11">
      <c r="G195" s="241" t="s">
        <v>992</v>
      </c>
      <c r="H195" s="236" t="s">
        <v>993</v>
      </c>
      <c r="J195" s="238" t="s">
        <v>994</v>
      </c>
      <c r="K195" s="236" t="s">
        <v>408</v>
      </c>
    </row>
    <row r="196" spans="7:11">
      <c r="G196" s="241" t="s">
        <v>995</v>
      </c>
      <c r="H196" s="236" t="s">
        <v>996</v>
      </c>
      <c r="J196" s="238" t="s">
        <v>997</v>
      </c>
      <c r="K196" s="236" t="s">
        <v>998</v>
      </c>
    </row>
    <row r="197" spans="7:11">
      <c r="G197" s="241" t="s">
        <v>999</v>
      </c>
      <c r="H197" s="236" t="s">
        <v>1000</v>
      </c>
      <c r="J197" s="238" t="s">
        <v>1001</v>
      </c>
      <c r="K197" s="236" t="s">
        <v>1002</v>
      </c>
    </row>
    <row r="198" spans="7:11">
      <c r="G198" s="241" t="s">
        <v>1003</v>
      </c>
      <c r="H198" s="236" t="s">
        <v>1004</v>
      </c>
      <c r="J198" s="238" t="s">
        <v>1005</v>
      </c>
      <c r="K198" s="236" t="s">
        <v>1006</v>
      </c>
    </row>
    <row r="199" spans="7:11">
      <c r="G199" s="241" t="s">
        <v>1007</v>
      </c>
      <c r="H199" s="236" t="s">
        <v>1008</v>
      </c>
      <c r="J199" s="238" t="s">
        <v>1009</v>
      </c>
      <c r="K199" s="236" t="s">
        <v>1010</v>
      </c>
    </row>
    <row r="200" spans="7:11">
      <c r="G200" s="241" t="s">
        <v>1011</v>
      </c>
      <c r="H200" s="236" t="s">
        <v>1012</v>
      </c>
      <c r="J200" s="238" t="s">
        <v>1013</v>
      </c>
      <c r="K200" s="236" t="s">
        <v>1014</v>
      </c>
    </row>
    <row r="201" spans="7:11">
      <c r="G201" s="241" t="s">
        <v>1015</v>
      </c>
      <c r="H201" s="236" t="s">
        <v>1016</v>
      </c>
      <c r="J201" s="238" t="s">
        <v>1017</v>
      </c>
      <c r="K201" s="236" t="s">
        <v>58</v>
      </c>
    </row>
    <row r="202" spans="7:11">
      <c r="G202" s="241" t="s">
        <v>1018</v>
      </c>
      <c r="H202" s="236" t="s">
        <v>1019</v>
      </c>
      <c r="J202" s="238" t="s">
        <v>1020</v>
      </c>
      <c r="K202" s="236" t="s">
        <v>64</v>
      </c>
    </row>
    <row r="203" spans="7:11">
      <c r="G203" s="241" t="s">
        <v>1021</v>
      </c>
      <c r="H203" s="236" t="s">
        <v>1022</v>
      </c>
      <c r="J203" s="238" t="s">
        <v>1023</v>
      </c>
      <c r="K203" s="236" t="s">
        <v>1024</v>
      </c>
    </row>
    <row r="204" spans="7:11">
      <c r="G204" s="241" t="s">
        <v>1025</v>
      </c>
      <c r="H204" s="236" t="s">
        <v>1026</v>
      </c>
      <c r="J204" s="238" t="s">
        <v>1027</v>
      </c>
      <c r="K204" s="236" t="s">
        <v>1028</v>
      </c>
    </row>
    <row r="205" spans="7:11">
      <c r="G205" s="241" t="s">
        <v>1029</v>
      </c>
      <c r="H205" s="236" t="s">
        <v>1030</v>
      </c>
      <c r="J205" s="238" t="s">
        <v>1031</v>
      </c>
      <c r="K205" s="236" t="s">
        <v>1032</v>
      </c>
    </row>
    <row r="206" spans="7:11">
      <c r="G206" s="241" t="s">
        <v>1033</v>
      </c>
      <c r="H206" s="236" t="s">
        <v>1034</v>
      </c>
      <c r="J206" s="238" t="s">
        <v>1035</v>
      </c>
      <c r="K206" s="236" t="s">
        <v>1036</v>
      </c>
    </row>
    <row r="207" spans="7:11">
      <c r="G207" s="241" t="s">
        <v>1037</v>
      </c>
      <c r="H207" s="236" t="s">
        <v>1038</v>
      </c>
      <c r="J207" s="238" t="s">
        <v>1039</v>
      </c>
      <c r="K207" s="236" t="s">
        <v>1040</v>
      </c>
    </row>
    <row r="208" spans="7:11">
      <c r="G208" s="241" t="s">
        <v>1041</v>
      </c>
      <c r="H208" s="236" t="s">
        <v>1042</v>
      </c>
      <c r="J208" s="238" t="s">
        <v>1043</v>
      </c>
      <c r="K208" s="236" t="s">
        <v>1044</v>
      </c>
    </row>
    <row r="209" spans="7:11">
      <c r="G209" s="241" t="s">
        <v>1045</v>
      </c>
      <c r="H209" s="236" t="s">
        <v>1046</v>
      </c>
      <c r="J209" s="238" t="s">
        <v>1047</v>
      </c>
      <c r="K209" s="236" t="s">
        <v>1048</v>
      </c>
    </row>
    <row r="210" spans="7:11">
      <c r="G210" s="241" t="s">
        <v>1049</v>
      </c>
      <c r="H210" s="236" t="s">
        <v>1050</v>
      </c>
      <c r="J210" s="238" t="s">
        <v>1051</v>
      </c>
      <c r="K210" s="236" t="s">
        <v>1052</v>
      </c>
    </row>
    <row r="211" spans="7:11">
      <c r="G211" s="241" t="s">
        <v>1053</v>
      </c>
      <c r="H211" s="236" t="s">
        <v>1054</v>
      </c>
      <c r="J211" s="238" t="s">
        <v>1055</v>
      </c>
      <c r="K211" s="236" t="s">
        <v>1056</v>
      </c>
    </row>
    <row r="212" spans="7:11">
      <c r="G212" s="241" t="s">
        <v>1057</v>
      </c>
      <c r="H212" s="236" t="s">
        <v>1058</v>
      </c>
      <c r="J212" s="238" t="s">
        <v>1059</v>
      </c>
      <c r="K212" s="236" t="s">
        <v>1060</v>
      </c>
    </row>
    <row r="213" spans="7:11">
      <c r="G213" s="241" t="s">
        <v>1061</v>
      </c>
      <c r="H213" s="236" t="s">
        <v>1062</v>
      </c>
      <c r="J213" s="238" t="s">
        <v>1063</v>
      </c>
      <c r="K213" s="236" t="s">
        <v>1064</v>
      </c>
    </row>
    <row r="214" spans="7:11">
      <c r="G214" s="241" t="s">
        <v>1065</v>
      </c>
      <c r="H214" s="236" t="s">
        <v>1066</v>
      </c>
      <c r="J214" s="238" t="s">
        <v>1067</v>
      </c>
      <c r="K214" s="236" t="s">
        <v>1068</v>
      </c>
    </row>
    <row r="215" spans="7:11">
      <c r="G215" s="241" t="s">
        <v>1069</v>
      </c>
      <c r="H215" s="236" t="s">
        <v>1070</v>
      </c>
      <c r="J215" s="238" t="s">
        <v>1071</v>
      </c>
      <c r="K215" s="236" t="s">
        <v>1072</v>
      </c>
    </row>
    <row r="216" spans="7:11">
      <c r="G216" s="241" t="s">
        <v>1073</v>
      </c>
      <c r="H216" s="236" t="s">
        <v>1074</v>
      </c>
      <c r="J216" s="238" t="s">
        <v>1075</v>
      </c>
      <c r="K216" s="236" t="s">
        <v>1076</v>
      </c>
    </row>
    <row r="217" spans="7:11">
      <c r="G217" s="241" t="s">
        <v>1077</v>
      </c>
      <c r="H217" s="236" t="s">
        <v>1078</v>
      </c>
      <c r="J217" s="238" t="s">
        <v>1079</v>
      </c>
      <c r="K217" s="236" t="s">
        <v>1080</v>
      </c>
    </row>
    <row r="218" spans="7:11">
      <c r="G218" s="241" t="s">
        <v>1081</v>
      </c>
      <c r="H218" s="236" t="s">
        <v>1082</v>
      </c>
      <c r="J218" s="238" t="s">
        <v>1083</v>
      </c>
      <c r="K218" s="236" t="s">
        <v>1084</v>
      </c>
    </row>
    <row r="219" spans="7:11">
      <c r="G219" s="241" t="s">
        <v>1085</v>
      </c>
      <c r="H219" s="236" t="s">
        <v>1086</v>
      </c>
      <c r="J219" s="238" t="s">
        <v>1087</v>
      </c>
      <c r="K219" s="236" t="s">
        <v>1088</v>
      </c>
    </row>
    <row r="220" spans="7:11">
      <c r="G220" s="241" t="s">
        <v>1089</v>
      </c>
      <c r="H220" s="236" t="s">
        <v>1090</v>
      </c>
      <c r="J220" s="238" t="s">
        <v>1091</v>
      </c>
      <c r="K220" s="236" t="s">
        <v>1092</v>
      </c>
    </row>
    <row r="221" spans="7:11">
      <c r="G221" s="241" t="s">
        <v>1093</v>
      </c>
      <c r="H221" s="236" t="s">
        <v>1094</v>
      </c>
      <c r="J221" s="238" t="s">
        <v>1095</v>
      </c>
      <c r="K221" s="236" t="s">
        <v>1096</v>
      </c>
    </row>
    <row r="222" spans="7:11">
      <c r="G222" s="241" t="s">
        <v>1097</v>
      </c>
      <c r="H222" s="236" t="s">
        <v>1098</v>
      </c>
      <c r="J222" s="238" t="s">
        <v>1099</v>
      </c>
      <c r="K222" s="236" t="s">
        <v>1100</v>
      </c>
    </row>
    <row r="223" spans="7:11">
      <c r="G223" s="241" t="s">
        <v>1101</v>
      </c>
      <c r="H223" s="236" t="s">
        <v>1102</v>
      </c>
      <c r="J223" s="238" t="s">
        <v>1103</v>
      </c>
      <c r="K223" s="236" t="s">
        <v>1104</v>
      </c>
    </row>
    <row r="224" spans="7:11">
      <c r="G224" s="241" t="s">
        <v>1105</v>
      </c>
      <c r="H224" s="236" t="s">
        <v>1106</v>
      </c>
      <c r="J224" s="238" t="s">
        <v>1107</v>
      </c>
      <c r="K224" s="236" t="s">
        <v>1108</v>
      </c>
    </row>
    <row r="225" spans="7:11">
      <c r="G225" s="241" t="s">
        <v>1109</v>
      </c>
      <c r="H225" s="236" t="s">
        <v>1110</v>
      </c>
      <c r="J225" s="238" t="s">
        <v>1111</v>
      </c>
      <c r="K225" s="236" t="s">
        <v>1112</v>
      </c>
    </row>
    <row r="226" spans="7:11">
      <c r="G226" s="241" t="s">
        <v>1113</v>
      </c>
      <c r="H226" s="236" t="s">
        <v>1114</v>
      </c>
      <c r="J226" s="238" t="s">
        <v>1115</v>
      </c>
      <c r="K226" s="236" t="s">
        <v>1116</v>
      </c>
    </row>
    <row r="227" spans="7:11">
      <c r="G227" s="241" t="s">
        <v>1117</v>
      </c>
      <c r="H227" s="236" t="s">
        <v>241</v>
      </c>
      <c r="J227" s="238" t="s">
        <v>1118</v>
      </c>
      <c r="K227" s="236" t="s">
        <v>1119</v>
      </c>
    </row>
    <row r="228" spans="7:11">
      <c r="G228" s="241" t="s">
        <v>1120</v>
      </c>
      <c r="H228" s="236" t="s">
        <v>1121</v>
      </c>
      <c r="J228" s="238" t="s">
        <v>1122</v>
      </c>
      <c r="K228" s="236" t="s">
        <v>1123</v>
      </c>
    </row>
    <row r="229" spans="7:11">
      <c r="G229" s="241" t="s">
        <v>1124</v>
      </c>
      <c r="H229" s="236" t="s">
        <v>246</v>
      </c>
      <c r="J229" s="238" t="s">
        <v>1125</v>
      </c>
      <c r="K229" s="236" t="s">
        <v>1126</v>
      </c>
    </row>
    <row r="230" spans="7:11">
      <c r="G230" s="241" t="s">
        <v>1127</v>
      </c>
      <c r="H230" s="236" t="s">
        <v>1128</v>
      </c>
      <c r="J230" s="238" t="s">
        <v>1129</v>
      </c>
      <c r="K230" s="236" t="s">
        <v>1130</v>
      </c>
    </row>
    <row r="231" spans="7:11">
      <c r="G231" s="241" t="s">
        <v>1131</v>
      </c>
      <c r="H231" s="236" t="s">
        <v>251</v>
      </c>
      <c r="J231" s="238" t="s">
        <v>1132</v>
      </c>
      <c r="K231" s="236" t="s">
        <v>1133</v>
      </c>
    </row>
    <row r="232" spans="7:11">
      <c r="G232" s="241" t="s">
        <v>1134</v>
      </c>
      <c r="H232" s="236" t="s">
        <v>1135</v>
      </c>
      <c r="J232" s="238" t="s">
        <v>1136</v>
      </c>
      <c r="K232" s="236" t="s">
        <v>1137</v>
      </c>
    </row>
    <row r="233" spans="7:11">
      <c r="G233" s="241" t="s">
        <v>1138</v>
      </c>
      <c r="H233" s="236" t="s">
        <v>1139</v>
      </c>
      <c r="J233" s="238" t="s">
        <v>1140</v>
      </c>
      <c r="K233" s="236" t="s">
        <v>1141</v>
      </c>
    </row>
    <row r="234" spans="7:11">
      <c r="G234" s="241" t="s">
        <v>1142</v>
      </c>
      <c r="H234" s="236" t="s">
        <v>1143</v>
      </c>
      <c r="J234" s="238" t="s">
        <v>1144</v>
      </c>
      <c r="K234" s="236" t="s">
        <v>1145</v>
      </c>
    </row>
    <row r="235" spans="7:11">
      <c r="G235" s="241" t="s">
        <v>1146</v>
      </c>
      <c r="H235" s="236" t="s">
        <v>1147</v>
      </c>
      <c r="J235" s="238" t="s">
        <v>1148</v>
      </c>
      <c r="K235" s="236" t="s">
        <v>1149</v>
      </c>
    </row>
    <row r="236" spans="7:11">
      <c r="G236" s="241" t="s">
        <v>1150</v>
      </c>
      <c r="H236" s="236" t="s">
        <v>1151</v>
      </c>
      <c r="J236" s="238" t="s">
        <v>1152</v>
      </c>
      <c r="K236" s="236" t="s">
        <v>1153</v>
      </c>
    </row>
    <row r="237" spans="7:11">
      <c r="G237" s="241" t="s">
        <v>1154</v>
      </c>
      <c r="H237" s="236" t="s">
        <v>1155</v>
      </c>
      <c r="J237" s="238" t="s">
        <v>1156</v>
      </c>
      <c r="K237" s="236" t="s">
        <v>1157</v>
      </c>
    </row>
    <row r="238" spans="7:11">
      <c r="G238" s="241" t="s">
        <v>1158</v>
      </c>
      <c r="H238" s="236" t="s">
        <v>1159</v>
      </c>
      <c r="J238" s="238" t="s">
        <v>1160</v>
      </c>
      <c r="K238" s="236" t="s">
        <v>1161</v>
      </c>
    </row>
    <row r="239" spans="7:11">
      <c r="G239" s="241" t="s">
        <v>1162</v>
      </c>
      <c r="H239" s="236" t="s">
        <v>1163</v>
      </c>
      <c r="J239" s="238" t="s">
        <v>1164</v>
      </c>
      <c r="K239" s="236" t="s">
        <v>1165</v>
      </c>
    </row>
    <row r="240" spans="7:11">
      <c r="G240" s="241" t="s">
        <v>1166</v>
      </c>
      <c r="H240" s="236" t="s">
        <v>1167</v>
      </c>
      <c r="J240" s="238" t="s">
        <v>1168</v>
      </c>
      <c r="K240" s="236" t="s">
        <v>1169</v>
      </c>
    </row>
    <row r="241" spans="7:11">
      <c r="G241" s="241" t="s">
        <v>1170</v>
      </c>
      <c r="H241" s="236" t="s">
        <v>1171</v>
      </c>
      <c r="J241" s="238" t="s">
        <v>1172</v>
      </c>
      <c r="K241" s="236" t="s">
        <v>1173</v>
      </c>
    </row>
    <row r="242" spans="7:11">
      <c r="G242" s="241" t="s">
        <v>1174</v>
      </c>
      <c r="H242" s="236" t="s">
        <v>1175</v>
      </c>
      <c r="J242" s="238" t="s">
        <v>1176</v>
      </c>
      <c r="K242" s="236" t="s">
        <v>1177</v>
      </c>
    </row>
    <row r="243" spans="7:11">
      <c r="G243" s="241" t="s">
        <v>1178</v>
      </c>
      <c r="H243" s="236" t="s">
        <v>1179</v>
      </c>
      <c r="J243" s="238" t="s">
        <v>1180</v>
      </c>
      <c r="K243" s="236" t="s">
        <v>1181</v>
      </c>
    </row>
    <row r="244" spans="7:11">
      <c r="G244" s="241" t="s">
        <v>1182</v>
      </c>
      <c r="H244" s="236" t="s">
        <v>1183</v>
      </c>
      <c r="J244" s="238" t="s">
        <v>1184</v>
      </c>
      <c r="K244" s="236" t="s">
        <v>1185</v>
      </c>
    </row>
    <row r="245" spans="7:11">
      <c r="G245" s="241" t="s">
        <v>1186</v>
      </c>
      <c r="H245" s="236" t="s">
        <v>1187</v>
      </c>
      <c r="J245" s="238" t="s">
        <v>1188</v>
      </c>
      <c r="K245" s="236" t="s">
        <v>1189</v>
      </c>
    </row>
    <row r="246" spans="7:11">
      <c r="G246" s="241" t="s">
        <v>1190</v>
      </c>
      <c r="H246" s="236" t="s">
        <v>1191</v>
      </c>
      <c r="J246" s="238" t="s">
        <v>1192</v>
      </c>
      <c r="K246" s="236" t="s">
        <v>1193</v>
      </c>
    </row>
    <row r="247" spans="7:11">
      <c r="G247" s="241" t="s">
        <v>1194</v>
      </c>
      <c r="H247" s="236" t="s">
        <v>1195</v>
      </c>
      <c r="J247" s="238" t="s">
        <v>1196</v>
      </c>
      <c r="K247" s="236" t="s">
        <v>1197</v>
      </c>
    </row>
    <row r="248" spans="7:11">
      <c r="G248" s="241" t="s">
        <v>1198</v>
      </c>
      <c r="H248" s="236" t="s">
        <v>280</v>
      </c>
      <c r="J248" s="238" t="s">
        <v>1199</v>
      </c>
      <c r="K248" s="236" t="s">
        <v>1200</v>
      </c>
    </row>
    <row r="249" spans="7:11">
      <c r="G249" s="241" t="s">
        <v>1201</v>
      </c>
      <c r="H249" s="236" t="s">
        <v>1202</v>
      </c>
      <c r="J249" s="238" t="s">
        <v>1203</v>
      </c>
      <c r="K249" s="236" t="s">
        <v>1204</v>
      </c>
    </row>
    <row r="250" spans="7:11">
      <c r="G250" s="241" t="s">
        <v>1205</v>
      </c>
      <c r="H250" s="236" t="s">
        <v>1206</v>
      </c>
      <c r="J250" s="238" t="s">
        <v>1207</v>
      </c>
      <c r="K250" s="236" t="s">
        <v>1208</v>
      </c>
    </row>
    <row r="251" spans="7:11">
      <c r="G251" s="241" t="s">
        <v>1209</v>
      </c>
      <c r="H251" s="236" t="s">
        <v>1210</v>
      </c>
      <c r="J251" s="238" t="s">
        <v>1211</v>
      </c>
      <c r="K251" s="236" t="s">
        <v>1212</v>
      </c>
    </row>
    <row r="252" spans="7:11">
      <c r="G252" s="241" t="s">
        <v>1213</v>
      </c>
      <c r="H252" s="236" t="s">
        <v>1214</v>
      </c>
      <c r="J252" s="238" t="s">
        <v>1215</v>
      </c>
      <c r="K252" s="236" t="s">
        <v>1216</v>
      </c>
    </row>
    <row r="253" spans="7:11">
      <c r="G253" s="241" t="s">
        <v>1217</v>
      </c>
      <c r="H253" s="236" t="s">
        <v>1218</v>
      </c>
      <c r="J253" s="238" t="s">
        <v>1219</v>
      </c>
      <c r="K253" s="236" t="s">
        <v>1220</v>
      </c>
    </row>
    <row r="254" spans="7:11">
      <c r="G254" s="241" t="s">
        <v>1221</v>
      </c>
      <c r="H254" s="236" t="s">
        <v>1222</v>
      </c>
      <c r="J254" s="238" t="s">
        <v>1223</v>
      </c>
      <c r="K254" s="236" t="s">
        <v>1224</v>
      </c>
    </row>
    <row r="255" spans="7:11">
      <c r="G255" s="241" t="s">
        <v>1225</v>
      </c>
      <c r="H255" s="236" t="s">
        <v>1226</v>
      </c>
      <c r="J255" s="238" t="s">
        <v>1227</v>
      </c>
      <c r="K255" s="236" t="s">
        <v>1228</v>
      </c>
    </row>
    <row r="256" spans="7:11">
      <c r="G256" s="241" t="s">
        <v>1229</v>
      </c>
      <c r="H256" s="236" t="s">
        <v>1230</v>
      </c>
      <c r="J256" s="238" t="s">
        <v>1231</v>
      </c>
      <c r="K256" s="236" t="s">
        <v>1232</v>
      </c>
    </row>
    <row r="257" spans="7:11">
      <c r="G257" s="241" t="s">
        <v>1233</v>
      </c>
      <c r="H257" s="236" t="s">
        <v>292</v>
      </c>
      <c r="J257" s="238" t="s">
        <v>1234</v>
      </c>
      <c r="K257" s="236" t="s">
        <v>1235</v>
      </c>
    </row>
    <row r="258" spans="7:11">
      <c r="G258" s="241" t="s">
        <v>1236</v>
      </c>
      <c r="H258" s="236" t="s">
        <v>1237</v>
      </c>
      <c r="J258" s="238" t="s">
        <v>1238</v>
      </c>
      <c r="K258" s="236" t="s">
        <v>1239</v>
      </c>
    </row>
    <row r="259" spans="7:11">
      <c r="G259" s="241" t="s">
        <v>1240</v>
      </c>
      <c r="H259" s="236" t="s">
        <v>1241</v>
      </c>
      <c r="J259" s="238" t="s">
        <v>1242</v>
      </c>
      <c r="K259" s="236" t="s">
        <v>1243</v>
      </c>
    </row>
    <row r="260" spans="7:11">
      <c r="G260" s="241" t="s">
        <v>1244</v>
      </c>
      <c r="H260" s="236" t="s">
        <v>1245</v>
      </c>
      <c r="J260" s="238" t="s">
        <v>1246</v>
      </c>
      <c r="K260" s="236" t="s">
        <v>1247</v>
      </c>
    </row>
    <row r="261" spans="7:11">
      <c r="G261" s="241" t="s">
        <v>1248</v>
      </c>
      <c r="H261" s="236" t="s">
        <v>1249</v>
      </c>
      <c r="J261" s="238" t="s">
        <v>1250</v>
      </c>
      <c r="K261" s="236" t="s">
        <v>1251</v>
      </c>
    </row>
    <row r="262" spans="7:11">
      <c r="G262" s="241" t="s">
        <v>1252</v>
      </c>
      <c r="H262" s="236" t="s">
        <v>1253</v>
      </c>
      <c r="J262" s="238" t="s">
        <v>1254</v>
      </c>
      <c r="K262" s="236" t="s">
        <v>1255</v>
      </c>
    </row>
    <row r="263" spans="7:11">
      <c r="G263" s="241" t="s">
        <v>1256</v>
      </c>
      <c r="H263" s="236" t="s">
        <v>1257</v>
      </c>
      <c r="J263" s="238" t="s">
        <v>1258</v>
      </c>
      <c r="K263" s="236" t="s">
        <v>1259</v>
      </c>
    </row>
    <row r="264" spans="7:11">
      <c r="G264" s="241" t="s">
        <v>1260</v>
      </c>
      <c r="H264" s="236" t="s">
        <v>1261</v>
      </c>
      <c r="J264" s="238" t="s">
        <v>1262</v>
      </c>
      <c r="K264" s="236" t="s">
        <v>1263</v>
      </c>
    </row>
    <row r="265" spans="7:11">
      <c r="G265" s="241" t="s">
        <v>1264</v>
      </c>
      <c r="H265" s="236" t="s">
        <v>1265</v>
      </c>
      <c r="J265" s="238" t="s">
        <v>1266</v>
      </c>
      <c r="K265" s="236" t="s">
        <v>1267</v>
      </c>
    </row>
    <row r="266" spans="7:11">
      <c r="G266" s="241" t="s">
        <v>1268</v>
      </c>
      <c r="H266" s="236" t="s">
        <v>1269</v>
      </c>
      <c r="J266" s="238" t="s">
        <v>1270</v>
      </c>
      <c r="K266" s="236" t="s">
        <v>1271</v>
      </c>
    </row>
    <row r="267" spans="7:11">
      <c r="G267" s="241" t="s">
        <v>1272</v>
      </c>
      <c r="H267" s="236" t="s">
        <v>1273</v>
      </c>
      <c r="J267" s="238" t="s">
        <v>1274</v>
      </c>
      <c r="K267" s="236" t="s">
        <v>58</v>
      </c>
    </row>
    <row r="268" spans="7:11">
      <c r="G268" s="241" t="s">
        <v>1275</v>
      </c>
      <c r="H268" s="236" t="s">
        <v>1276</v>
      </c>
      <c r="J268" s="238" t="s">
        <v>1277</v>
      </c>
      <c r="K268" s="236" t="s">
        <v>64</v>
      </c>
    </row>
    <row r="269" spans="7:11">
      <c r="G269" s="241" t="s">
        <v>1278</v>
      </c>
      <c r="H269" s="236" t="s">
        <v>1279</v>
      </c>
      <c r="J269" s="238" t="s">
        <v>1280</v>
      </c>
      <c r="K269" s="236" t="s">
        <v>1281</v>
      </c>
    </row>
    <row r="270" spans="7:11">
      <c r="G270" s="241" t="s">
        <v>1282</v>
      </c>
      <c r="H270" s="236" t="s">
        <v>1283</v>
      </c>
      <c r="J270" s="238" t="s">
        <v>1284</v>
      </c>
      <c r="K270" s="236" t="s">
        <v>1285</v>
      </c>
    </row>
    <row r="271" spans="7:11">
      <c r="G271" s="241" t="s">
        <v>1286</v>
      </c>
      <c r="H271" s="236" t="s">
        <v>1287</v>
      </c>
      <c r="J271" s="238" t="s">
        <v>1288</v>
      </c>
      <c r="K271" s="236" t="s">
        <v>1289</v>
      </c>
    </row>
    <row r="272" spans="7:11">
      <c r="G272" s="241" t="s">
        <v>1290</v>
      </c>
      <c r="H272" s="236" t="s">
        <v>1291</v>
      </c>
      <c r="J272" s="238" t="s">
        <v>1292</v>
      </c>
      <c r="K272" s="236" t="s">
        <v>1293</v>
      </c>
    </row>
    <row r="273" spans="7:11">
      <c r="G273" s="241" t="s">
        <v>1294</v>
      </c>
      <c r="H273" s="236" t="s">
        <v>1295</v>
      </c>
      <c r="J273" s="238" t="s">
        <v>1296</v>
      </c>
      <c r="K273" s="236" t="s">
        <v>1297</v>
      </c>
    </row>
    <row r="274" spans="7:11">
      <c r="G274" s="241" t="s">
        <v>1298</v>
      </c>
      <c r="H274" s="236" t="s">
        <v>1299</v>
      </c>
      <c r="J274" s="238" t="s">
        <v>1300</v>
      </c>
      <c r="K274" s="236" t="s">
        <v>1301</v>
      </c>
    </row>
    <row r="275" spans="7:11">
      <c r="G275" s="241" t="s">
        <v>1302</v>
      </c>
      <c r="H275" s="236" t="s">
        <v>1303</v>
      </c>
      <c r="J275" s="238" t="s">
        <v>1304</v>
      </c>
      <c r="K275" s="236" t="s">
        <v>1305</v>
      </c>
    </row>
    <row r="276" spans="7:11">
      <c r="G276" s="241" t="s">
        <v>1306</v>
      </c>
      <c r="H276" s="236" t="s">
        <v>1307</v>
      </c>
      <c r="J276" s="238" t="s">
        <v>1308</v>
      </c>
      <c r="K276" s="236" t="s">
        <v>1309</v>
      </c>
    </row>
    <row r="277" spans="7:11">
      <c r="G277" s="241" t="s">
        <v>1310</v>
      </c>
      <c r="H277" s="236" t="s">
        <v>1311</v>
      </c>
      <c r="J277" s="238" t="s">
        <v>1312</v>
      </c>
      <c r="K277" s="236" t="s">
        <v>1313</v>
      </c>
    </row>
    <row r="278" spans="7:11">
      <c r="G278" s="241" t="s">
        <v>1314</v>
      </c>
      <c r="H278" s="236" t="s">
        <v>1315</v>
      </c>
      <c r="J278" s="238" t="s">
        <v>1316</v>
      </c>
      <c r="K278" s="236" t="s">
        <v>1317</v>
      </c>
    </row>
    <row r="279" spans="7:11">
      <c r="G279" s="241" t="s">
        <v>1318</v>
      </c>
      <c r="H279" s="236" t="s">
        <v>1319</v>
      </c>
      <c r="J279" s="238" t="s">
        <v>1320</v>
      </c>
      <c r="K279" s="236" t="s">
        <v>1321</v>
      </c>
    </row>
    <row r="280" spans="7:11">
      <c r="G280" s="241" t="s">
        <v>1322</v>
      </c>
      <c r="H280" s="236" t="s">
        <v>1323</v>
      </c>
      <c r="J280" s="238" t="s">
        <v>1324</v>
      </c>
      <c r="K280" s="236" t="s">
        <v>1325</v>
      </c>
    </row>
    <row r="281" spans="7:11">
      <c r="G281" s="241" t="s">
        <v>1326</v>
      </c>
      <c r="H281" s="236" t="s">
        <v>1327</v>
      </c>
      <c r="J281" s="238" t="s">
        <v>1328</v>
      </c>
      <c r="K281" s="236" t="s">
        <v>1329</v>
      </c>
    </row>
    <row r="282" spans="7:11">
      <c r="G282" s="241" t="s">
        <v>1330</v>
      </c>
      <c r="H282" s="236" t="s">
        <v>1331</v>
      </c>
      <c r="J282" s="238" t="s">
        <v>1332</v>
      </c>
      <c r="K282" s="236" t="s">
        <v>1333</v>
      </c>
    </row>
    <row r="283" spans="7:11">
      <c r="G283" s="241" t="s">
        <v>1334</v>
      </c>
      <c r="H283" s="236" t="s">
        <v>1335</v>
      </c>
      <c r="J283" s="238" t="s">
        <v>1336</v>
      </c>
      <c r="K283" s="236" t="s">
        <v>1337</v>
      </c>
    </row>
    <row r="284" spans="7:11">
      <c r="G284" s="241" t="s">
        <v>1338</v>
      </c>
      <c r="H284" s="236" t="s">
        <v>1339</v>
      </c>
      <c r="J284" s="238" t="s">
        <v>1340</v>
      </c>
      <c r="K284" s="236" t="s">
        <v>1341</v>
      </c>
    </row>
    <row r="285" spans="7:11">
      <c r="G285" s="241" t="s">
        <v>1342</v>
      </c>
      <c r="H285" s="236" t="s">
        <v>1343</v>
      </c>
      <c r="J285" s="238" t="s">
        <v>1344</v>
      </c>
      <c r="K285" s="236" t="s">
        <v>1345</v>
      </c>
    </row>
    <row r="286" spans="7:11">
      <c r="G286" s="241" t="s">
        <v>1346</v>
      </c>
      <c r="H286" s="236" t="s">
        <v>1347</v>
      </c>
      <c r="J286" s="238" t="s">
        <v>1348</v>
      </c>
      <c r="K286" s="236" t="s">
        <v>1349</v>
      </c>
    </row>
    <row r="287" spans="7:11">
      <c r="G287" s="241" t="s">
        <v>1350</v>
      </c>
      <c r="H287" s="236" t="s">
        <v>1351</v>
      </c>
      <c r="J287" s="238" t="s">
        <v>1352</v>
      </c>
      <c r="K287" s="236" t="s">
        <v>58</v>
      </c>
    </row>
    <row r="288" spans="7:11">
      <c r="G288" s="241" t="s">
        <v>1353</v>
      </c>
      <c r="H288" s="236" t="s">
        <v>331</v>
      </c>
      <c r="J288" s="238" t="s">
        <v>1354</v>
      </c>
      <c r="K288" s="236" t="s">
        <v>64</v>
      </c>
    </row>
    <row r="289" spans="7:11">
      <c r="G289" s="241" t="s">
        <v>1355</v>
      </c>
      <c r="H289" s="236" t="s">
        <v>1356</v>
      </c>
      <c r="J289" s="238" t="s">
        <v>1357</v>
      </c>
      <c r="K289" s="236" t="s">
        <v>1358</v>
      </c>
    </row>
    <row r="290" spans="7:11">
      <c r="G290" s="241" t="s">
        <v>1359</v>
      </c>
      <c r="H290" s="236" t="s">
        <v>337</v>
      </c>
      <c r="J290" s="238" t="s">
        <v>1360</v>
      </c>
      <c r="K290" s="236" t="s">
        <v>1361</v>
      </c>
    </row>
    <row r="291" spans="7:11">
      <c r="G291" s="241" t="s">
        <v>1362</v>
      </c>
      <c r="H291" s="236" t="s">
        <v>1363</v>
      </c>
      <c r="J291" s="238" t="s">
        <v>1364</v>
      </c>
      <c r="K291" s="236" t="s">
        <v>1365</v>
      </c>
    </row>
    <row r="292" spans="7:11">
      <c r="G292" s="241" t="s">
        <v>1366</v>
      </c>
      <c r="H292" s="236" t="s">
        <v>1367</v>
      </c>
      <c r="J292" s="238" t="s">
        <v>1368</v>
      </c>
      <c r="K292" s="236" t="s">
        <v>528</v>
      </c>
    </row>
    <row r="293" spans="7:11">
      <c r="G293" s="241" t="s">
        <v>1369</v>
      </c>
      <c r="H293" s="236" t="s">
        <v>1370</v>
      </c>
      <c r="J293" s="238" t="s">
        <v>1371</v>
      </c>
      <c r="K293" s="236" t="s">
        <v>534</v>
      </c>
    </row>
    <row r="294" spans="7:11">
      <c r="G294" s="241" t="s">
        <v>1372</v>
      </c>
      <c r="H294" s="236" t="s">
        <v>1373</v>
      </c>
      <c r="J294" s="238" t="s">
        <v>1374</v>
      </c>
      <c r="K294" s="236" t="s">
        <v>1375</v>
      </c>
    </row>
    <row r="295" spans="7:11">
      <c r="G295" s="241" t="s">
        <v>1376</v>
      </c>
      <c r="H295" s="236" t="s">
        <v>1377</v>
      </c>
      <c r="J295" s="238" t="s">
        <v>1378</v>
      </c>
      <c r="K295" s="236" t="s">
        <v>1379</v>
      </c>
    </row>
    <row r="296" spans="7:11">
      <c r="G296" s="241" t="s">
        <v>1380</v>
      </c>
      <c r="H296" s="236" t="s">
        <v>1381</v>
      </c>
      <c r="J296" s="238" t="s">
        <v>1382</v>
      </c>
      <c r="K296" s="236" t="s">
        <v>1383</v>
      </c>
    </row>
    <row r="297" spans="7:11">
      <c r="G297" s="241" t="s">
        <v>1384</v>
      </c>
      <c r="H297" s="236" t="s">
        <v>1385</v>
      </c>
      <c r="J297" s="238" t="s">
        <v>1386</v>
      </c>
      <c r="K297" s="236" t="s">
        <v>1387</v>
      </c>
    </row>
    <row r="298" spans="7:11">
      <c r="G298" s="241" t="s">
        <v>1388</v>
      </c>
      <c r="H298" s="236" t="s">
        <v>1389</v>
      </c>
      <c r="J298" s="238" t="s">
        <v>1390</v>
      </c>
      <c r="K298" s="236" t="s">
        <v>58</v>
      </c>
    </row>
    <row r="299" spans="7:11">
      <c r="G299" s="241" t="s">
        <v>1391</v>
      </c>
      <c r="H299" s="236" t="s">
        <v>1392</v>
      </c>
      <c r="J299" s="238" t="s">
        <v>1393</v>
      </c>
      <c r="K299" s="236" t="s">
        <v>64</v>
      </c>
    </row>
    <row r="300" spans="7:11">
      <c r="G300" s="241" t="s">
        <v>1394</v>
      </c>
      <c r="H300" s="236" t="s">
        <v>1395</v>
      </c>
      <c r="J300" s="238" t="s">
        <v>1396</v>
      </c>
      <c r="K300" s="236" t="s">
        <v>552</v>
      </c>
    </row>
    <row r="301" spans="7:11">
      <c r="G301" s="241" t="s">
        <v>1397</v>
      </c>
      <c r="H301" s="236" t="s">
        <v>1398</v>
      </c>
      <c r="J301" s="238" t="s">
        <v>1399</v>
      </c>
      <c r="K301" s="236" t="s">
        <v>1400</v>
      </c>
    </row>
    <row r="302" spans="7:11">
      <c r="G302" s="241" t="s">
        <v>1401</v>
      </c>
      <c r="H302" s="236" t="s">
        <v>1402</v>
      </c>
      <c r="J302" s="238" t="s">
        <v>1403</v>
      </c>
      <c r="K302" s="236" t="s">
        <v>1404</v>
      </c>
    </row>
    <row r="303" spans="7:11">
      <c r="G303" s="241" t="s">
        <v>1405</v>
      </c>
      <c r="H303" s="236" t="s">
        <v>1406</v>
      </c>
      <c r="J303" s="238" t="s">
        <v>1407</v>
      </c>
      <c r="K303" s="236" t="s">
        <v>1408</v>
      </c>
    </row>
    <row r="304" spans="7:11">
      <c r="G304" s="241" t="s">
        <v>1409</v>
      </c>
      <c r="H304" s="236" t="s">
        <v>1410</v>
      </c>
      <c r="J304" s="238" t="s">
        <v>1411</v>
      </c>
      <c r="K304" s="236" t="s">
        <v>1412</v>
      </c>
    </row>
    <row r="305" spans="7:11">
      <c r="G305" s="241" t="s">
        <v>1413</v>
      </c>
      <c r="H305" s="236" t="s">
        <v>1414</v>
      </c>
      <c r="J305" s="238" t="s">
        <v>1415</v>
      </c>
      <c r="K305" s="236" t="s">
        <v>1416</v>
      </c>
    </row>
    <row r="306" spans="7:11">
      <c r="G306" s="241" t="s">
        <v>1417</v>
      </c>
      <c r="H306" s="236" t="s">
        <v>1418</v>
      </c>
      <c r="J306" s="238" t="s">
        <v>1419</v>
      </c>
      <c r="K306" s="236" t="s">
        <v>1420</v>
      </c>
    </row>
    <row r="307" spans="7:11">
      <c r="G307" s="241" t="s">
        <v>1421</v>
      </c>
      <c r="H307" s="236" t="s">
        <v>1422</v>
      </c>
      <c r="J307" s="238" t="s">
        <v>1423</v>
      </c>
      <c r="K307" s="236" t="s">
        <v>1424</v>
      </c>
    </row>
    <row r="308" spans="7:11">
      <c r="G308" s="241" t="s">
        <v>1425</v>
      </c>
      <c r="H308" s="236" t="s">
        <v>1426</v>
      </c>
      <c r="J308" s="238" t="s">
        <v>1427</v>
      </c>
      <c r="K308" s="236" t="s">
        <v>1428</v>
      </c>
    </row>
    <row r="309" spans="7:11">
      <c r="G309" s="241" t="s">
        <v>1429</v>
      </c>
      <c r="H309" s="236" t="s">
        <v>1430</v>
      </c>
      <c r="J309" s="238" t="s">
        <v>1431</v>
      </c>
      <c r="K309" s="236" t="s">
        <v>1432</v>
      </c>
    </row>
    <row r="310" spans="7:11">
      <c r="G310" s="241" t="s">
        <v>1433</v>
      </c>
      <c r="H310" s="236" t="s">
        <v>1434</v>
      </c>
      <c r="J310" s="238" t="s">
        <v>1435</v>
      </c>
      <c r="K310" s="236" t="s">
        <v>1436</v>
      </c>
    </row>
    <row r="311" spans="7:11">
      <c r="G311" s="241" t="s">
        <v>1437</v>
      </c>
      <c r="H311" s="236" t="s">
        <v>1438</v>
      </c>
      <c r="J311" s="238" t="s">
        <v>1439</v>
      </c>
      <c r="K311" s="236" t="s">
        <v>1440</v>
      </c>
    </row>
    <row r="312" spans="7:11">
      <c r="G312" s="241" t="s">
        <v>1441</v>
      </c>
      <c r="H312" s="236" t="s">
        <v>1442</v>
      </c>
      <c r="J312" s="238" t="s">
        <v>1443</v>
      </c>
      <c r="K312" s="236" t="s">
        <v>1444</v>
      </c>
    </row>
    <row r="313" spans="7:11">
      <c r="G313" s="241" t="s">
        <v>1445</v>
      </c>
      <c r="H313" s="236" t="s">
        <v>1446</v>
      </c>
      <c r="J313" s="238" t="s">
        <v>1447</v>
      </c>
      <c r="K313" s="236" t="s">
        <v>1448</v>
      </c>
    </row>
    <row r="314" spans="7:11">
      <c r="G314" s="241" t="s">
        <v>1449</v>
      </c>
      <c r="H314" s="236" t="s">
        <v>1450</v>
      </c>
      <c r="J314" s="238" t="s">
        <v>1451</v>
      </c>
      <c r="K314" s="236" t="s">
        <v>1452</v>
      </c>
    </row>
    <row r="315" spans="7:11">
      <c r="G315" s="241" t="s">
        <v>1453</v>
      </c>
      <c r="H315" s="236" t="s">
        <v>1454</v>
      </c>
      <c r="J315" s="238" t="s">
        <v>1455</v>
      </c>
      <c r="K315" s="236" t="s">
        <v>579</v>
      </c>
    </row>
    <row r="316" spans="7:11">
      <c r="G316" s="241" t="s">
        <v>1456</v>
      </c>
      <c r="H316" s="236" t="s">
        <v>1457</v>
      </c>
      <c r="J316" s="238" t="s">
        <v>1458</v>
      </c>
      <c r="K316" s="236" t="s">
        <v>58</v>
      </c>
    </row>
    <row r="317" spans="7:11">
      <c r="G317" s="241" t="s">
        <v>1459</v>
      </c>
      <c r="H317" s="236" t="s">
        <v>1460</v>
      </c>
      <c r="J317" s="238" t="s">
        <v>1461</v>
      </c>
      <c r="K317" s="236" t="s">
        <v>64</v>
      </c>
    </row>
    <row r="318" spans="7:11">
      <c r="G318" s="241" t="s">
        <v>1462</v>
      </c>
      <c r="H318" s="236" t="s">
        <v>1463</v>
      </c>
      <c r="J318" s="238" t="s">
        <v>1464</v>
      </c>
      <c r="K318" s="236" t="s">
        <v>1465</v>
      </c>
    </row>
    <row r="319" spans="7:11">
      <c r="G319" s="241" t="s">
        <v>1466</v>
      </c>
      <c r="H319" s="236" t="s">
        <v>1467</v>
      </c>
      <c r="J319" s="238" t="s">
        <v>1468</v>
      </c>
      <c r="K319" s="236" t="s">
        <v>1469</v>
      </c>
    </row>
    <row r="320" spans="7:11">
      <c r="G320" s="241" t="s">
        <v>1470</v>
      </c>
      <c r="H320" s="236" t="s">
        <v>1471</v>
      </c>
      <c r="J320" s="238" t="s">
        <v>1472</v>
      </c>
      <c r="K320" s="236" t="s">
        <v>1473</v>
      </c>
    </row>
    <row r="321" spans="7:11">
      <c r="G321" s="241" t="s">
        <v>1474</v>
      </c>
      <c r="H321" s="236" t="s">
        <v>1475</v>
      </c>
      <c r="J321" s="238" t="s">
        <v>1476</v>
      </c>
      <c r="K321" s="236" t="s">
        <v>596</v>
      </c>
    </row>
    <row r="322" spans="7:11">
      <c r="G322" s="241" t="s">
        <v>1477</v>
      </c>
      <c r="H322" s="236" t="s">
        <v>1478</v>
      </c>
      <c r="J322" s="238" t="s">
        <v>1479</v>
      </c>
      <c r="K322" s="236" t="s">
        <v>1480</v>
      </c>
    </row>
    <row r="323" spans="7:11">
      <c r="G323" s="241" t="s">
        <v>1481</v>
      </c>
      <c r="H323" s="236" t="s">
        <v>1482</v>
      </c>
      <c r="J323" s="238" t="s">
        <v>1483</v>
      </c>
      <c r="K323" s="236" t="s">
        <v>1484</v>
      </c>
    </row>
    <row r="324" spans="7:11">
      <c r="G324" s="241" t="s">
        <v>1485</v>
      </c>
      <c r="H324" s="236" t="s">
        <v>1486</v>
      </c>
      <c r="J324" s="238" t="s">
        <v>1487</v>
      </c>
      <c r="K324" s="236" t="s">
        <v>606</v>
      </c>
    </row>
    <row r="325" spans="7:11">
      <c r="G325" s="241" t="s">
        <v>1488</v>
      </c>
      <c r="H325" s="236" t="s">
        <v>1489</v>
      </c>
      <c r="J325" s="238" t="s">
        <v>1490</v>
      </c>
      <c r="K325" s="236" t="s">
        <v>58</v>
      </c>
    </row>
    <row r="326" spans="7:11">
      <c r="G326" s="241" t="s">
        <v>1491</v>
      </c>
      <c r="H326" s="236" t="s">
        <v>1492</v>
      </c>
      <c r="J326" s="238" t="s">
        <v>1493</v>
      </c>
      <c r="K326" s="236" t="s">
        <v>64</v>
      </c>
    </row>
    <row r="327" spans="7:11">
      <c r="G327" s="241" t="s">
        <v>1494</v>
      </c>
      <c r="H327" s="236" t="s">
        <v>1495</v>
      </c>
      <c r="J327" s="238" t="s">
        <v>1496</v>
      </c>
      <c r="K327" s="236" t="s">
        <v>1497</v>
      </c>
    </row>
    <row r="328" spans="7:11">
      <c r="G328" s="241" t="s">
        <v>1498</v>
      </c>
      <c r="H328" s="236" t="s">
        <v>1499</v>
      </c>
      <c r="J328" s="238" t="s">
        <v>1500</v>
      </c>
      <c r="K328" s="236" t="s">
        <v>1501</v>
      </c>
    </row>
    <row r="329" spans="7:11">
      <c r="G329" s="241" t="s">
        <v>1502</v>
      </c>
      <c r="H329" s="236" t="s">
        <v>1503</v>
      </c>
      <c r="J329" s="238" t="s">
        <v>1504</v>
      </c>
      <c r="K329" s="236" t="s">
        <v>1505</v>
      </c>
    </row>
    <row r="330" spans="7:11">
      <c r="G330" s="241" t="s">
        <v>1506</v>
      </c>
      <c r="H330" s="236" t="s">
        <v>1507</v>
      </c>
      <c r="J330" s="238" t="s">
        <v>1508</v>
      </c>
      <c r="K330" s="236" t="s">
        <v>1509</v>
      </c>
    </row>
    <row r="331" spans="7:11">
      <c r="G331" s="241" t="s">
        <v>1510</v>
      </c>
      <c r="H331" s="236" t="s">
        <v>1511</v>
      </c>
      <c r="J331" s="238" t="s">
        <v>1512</v>
      </c>
      <c r="K331" s="236" t="s">
        <v>1513</v>
      </c>
    </row>
    <row r="332" spans="7:11">
      <c r="G332" s="241" t="s">
        <v>1514</v>
      </c>
      <c r="H332" s="236" t="s">
        <v>1515</v>
      </c>
      <c r="J332" s="238" t="s">
        <v>1516</v>
      </c>
      <c r="K332" s="236" t="s">
        <v>1517</v>
      </c>
    </row>
    <row r="333" spans="7:11">
      <c r="G333" s="241" t="s">
        <v>1518</v>
      </c>
      <c r="H333" s="236" t="s">
        <v>1519</v>
      </c>
      <c r="J333" s="238" t="s">
        <v>1520</v>
      </c>
      <c r="K333" s="236" t="s">
        <v>1521</v>
      </c>
    </row>
    <row r="334" spans="7:11">
      <c r="G334" s="241" t="s">
        <v>1522</v>
      </c>
      <c r="H334" s="236" t="s">
        <v>1523</v>
      </c>
      <c r="J334" s="238" t="s">
        <v>1524</v>
      </c>
      <c r="K334" s="236" t="s">
        <v>1525</v>
      </c>
    </row>
    <row r="335" spans="7:11">
      <c r="G335" s="241" t="s">
        <v>1526</v>
      </c>
      <c r="H335" s="236" t="s">
        <v>1527</v>
      </c>
      <c r="J335" s="238" t="s">
        <v>1528</v>
      </c>
      <c r="K335" s="236" t="s">
        <v>1529</v>
      </c>
    </row>
    <row r="336" spans="7:11">
      <c r="G336" s="241" t="s">
        <v>1530</v>
      </c>
      <c r="H336" s="236" t="s">
        <v>1531</v>
      </c>
      <c r="J336" s="238" t="s">
        <v>1532</v>
      </c>
      <c r="K336" s="236" t="s">
        <v>1533</v>
      </c>
    </row>
    <row r="337" spans="7:11">
      <c r="G337" s="241" t="s">
        <v>1534</v>
      </c>
      <c r="H337" s="236" t="s">
        <v>1535</v>
      </c>
      <c r="J337" s="238" t="s">
        <v>1536</v>
      </c>
      <c r="K337" s="236" t="s">
        <v>1537</v>
      </c>
    </row>
    <row r="338" spans="7:11">
      <c r="G338" s="241" t="s">
        <v>1538</v>
      </c>
      <c r="H338" s="236" t="s">
        <v>1539</v>
      </c>
      <c r="J338" s="238" t="s">
        <v>1540</v>
      </c>
      <c r="K338" s="236" t="s">
        <v>1541</v>
      </c>
    </row>
    <row r="339" spans="7:11">
      <c r="G339" s="241" t="s">
        <v>1542</v>
      </c>
      <c r="H339" s="236" t="s">
        <v>1543</v>
      </c>
      <c r="J339" s="238" t="s">
        <v>1544</v>
      </c>
      <c r="K339" s="236" t="s">
        <v>1545</v>
      </c>
    </row>
    <row r="340" spans="7:11">
      <c r="G340" s="241" t="s">
        <v>1546</v>
      </c>
      <c r="H340" s="236" t="s">
        <v>1547</v>
      </c>
      <c r="J340" s="238" t="s">
        <v>1548</v>
      </c>
      <c r="K340" s="236" t="s">
        <v>1549</v>
      </c>
    </row>
    <row r="341" spans="7:11">
      <c r="G341" s="241" t="s">
        <v>1550</v>
      </c>
      <c r="H341" s="236" t="s">
        <v>1551</v>
      </c>
      <c r="J341" s="238" t="s">
        <v>1552</v>
      </c>
      <c r="K341" s="236" t="s">
        <v>1553</v>
      </c>
    </row>
    <row r="342" spans="7:11">
      <c r="G342" s="241" t="s">
        <v>1554</v>
      </c>
      <c r="H342" s="236" t="s">
        <v>1555</v>
      </c>
      <c r="J342" s="238" t="s">
        <v>1556</v>
      </c>
      <c r="K342" s="236" t="s">
        <v>1557</v>
      </c>
    </row>
    <row r="343" spans="7:11">
      <c r="G343" s="241" t="s">
        <v>1558</v>
      </c>
      <c r="H343" s="236" t="s">
        <v>1559</v>
      </c>
      <c r="J343" s="238" t="s">
        <v>1560</v>
      </c>
      <c r="K343" s="236" t="s">
        <v>1561</v>
      </c>
    </row>
    <row r="344" spans="7:11">
      <c r="G344" s="241" t="s">
        <v>1562</v>
      </c>
      <c r="H344" s="236" t="s">
        <v>1563</v>
      </c>
      <c r="J344" s="238" t="s">
        <v>1564</v>
      </c>
      <c r="K344" s="236" t="s">
        <v>1565</v>
      </c>
    </row>
    <row r="345" spans="7:11">
      <c r="G345" s="241" t="s">
        <v>1566</v>
      </c>
      <c r="H345" s="236" t="s">
        <v>1567</v>
      </c>
      <c r="J345" s="238" t="s">
        <v>1568</v>
      </c>
      <c r="K345" s="236" t="s">
        <v>1569</v>
      </c>
    </row>
    <row r="346" spans="7:11">
      <c r="G346" s="241" t="s">
        <v>1570</v>
      </c>
      <c r="H346" s="236" t="s">
        <v>1571</v>
      </c>
      <c r="J346" s="238" t="s">
        <v>1572</v>
      </c>
      <c r="K346" s="236" t="s">
        <v>1573</v>
      </c>
    </row>
    <row r="347" spans="7:11">
      <c r="G347" s="241" t="s">
        <v>1574</v>
      </c>
      <c r="H347" s="236" t="s">
        <v>1575</v>
      </c>
      <c r="J347" s="238" t="s">
        <v>1576</v>
      </c>
      <c r="K347" s="236" t="s">
        <v>1577</v>
      </c>
    </row>
    <row r="348" spans="7:11">
      <c r="G348" s="241" t="s">
        <v>1578</v>
      </c>
      <c r="H348" s="236" t="s">
        <v>1579</v>
      </c>
      <c r="J348" s="238" t="s">
        <v>1580</v>
      </c>
      <c r="K348" s="236" t="s">
        <v>1581</v>
      </c>
    </row>
    <row r="349" spans="7:11">
      <c r="G349" s="241" t="s">
        <v>1582</v>
      </c>
      <c r="H349" s="236" t="s">
        <v>1583</v>
      </c>
      <c r="J349" s="238" t="s">
        <v>1584</v>
      </c>
      <c r="K349" s="236" t="s">
        <v>1585</v>
      </c>
    </row>
    <row r="350" spans="7:11">
      <c r="G350" s="241" t="s">
        <v>1586</v>
      </c>
      <c r="H350" s="236" t="s">
        <v>1587</v>
      </c>
      <c r="J350" s="238" t="s">
        <v>1588</v>
      </c>
      <c r="K350" s="236" t="s">
        <v>1589</v>
      </c>
    </row>
    <row r="351" spans="7:11">
      <c r="G351" s="241" t="s">
        <v>1590</v>
      </c>
      <c r="H351" s="236" t="s">
        <v>1591</v>
      </c>
      <c r="J351" s="238" t="s">
        <v>1592</v>
      </c>
      <c r="K351" s="236" t="s">
        <v>1593</v>
      </c>
    </row>
    <row r="352" spans="7:11">
      <c r="G352" s="241" t="s">
        <v>1594</v>
      </c>
      <c r="H352" s="236" t="s">
        <v>1595</v>
      </c>
      <c r="J352" s="238" t="s">
        <v>1596</v>
      </c>
      <c r="K352" s="236" t="s">
        <v>1597</v>
      </c>
    </row>
    <row r="353" spans="7:11">
      <c r="G353" s="241" t="s">
        <v>1598</v>
      </c>
      <c r="H353" s="236" t="s">
        <v>1599</v>
      </c>
      <c r="J353" s="238" t="s">
        <v>1600</v>
      </c>
      <c r="K353" s="236" t="s">
        <v>1601</v>
      </c>
    </row>
    <row r="354" spans="7:11">
      <c r="G354" s="241" t="s">
        <v>1602</v>
      </c>
      <c r="H354" s="236" t="s">
        <v>1603</v>
      </c>
      <c r="J354" s="238" t="s">
        <v>1604</v>
      </c>
      <c r="K354" s="236" t="s">
        <v>1605</v>
      </c>
    </row>
    <row r="355" spans="7:11">
      <c r="G355" s="241" t="s">
        <v>1606</v>
      </c>
      <c r="H355" s="236" t="s">
        <v>1607</v>
      </c>
      <c r="J355" s="238" t="s">
        <v>1608</v>
      </c>
      <c r="K355" s="236" t="s">
        <v>1609</v>
      </c>
    </row>
    <row r="356" spans="7:11">
      <c r="G356" s="241" t="s">
        <v>1610</v>
      </c>
      <c r="H356" s="236" t="s">
        <v>1611</v>
      </c>
      <c r="J356" s="238" t="s">
        <v>1612</v>
      </c>
      <c r="K356" s="236" t="s">
        <v>1613</v>
      </c>
    </row>
    <row r="357" spans="7:11">
      <c r="G357" s="241" t="s">
        <v>1614</v>
      </c>
      <c r="H357" s="236" t="s">
        <v>1615</v>
      </c>
      <c r="J357" s="238" t="s">
        <v>1616</v>
      </c>
      <c r="K357" s="236" t="s">
        <v>1617</v>
      </c>
    </row>
    <row r="358" spans="7:11">
      <c r="G358" s="241" t="s">
        <v>1618</v>
      </c>
      <c r="H358" s="236" t="s">
        <v>1619</v>
      </c>
      <c r="J358" s="238" t="s">
        <v>1620</v>
      </c>
      <c r="K358" s="236" t="s">
        <v>1621</v>
      </c>
    </row>
    <row r="359" spans="7:11">
      <c r="G359" s="241" t="s">
        <v>1622</v>
      </c>
      <c r="H359" s="236" t="s">
        <v>1623</v>
      </c>
      <c r="J359" s="238" t="s">
        <v>1624</v>
      </c>
      <c r="K359" s="236" t="s">
        <v>1625</v>
      </c>
    </row>
    <row r="360" spans="7:11">
      <c r="G360" s="241" t="s">
        <v>1626</v>
      </c>
      <c r="H360" s="236" t="s">
        <v>1627</v>
      </c>
      <c r="J360" s="238" t="s">
        <v>1628</v>
      </c>
      <c r="K360" s="236" t="s">
        <v>1629</v>
      </c>
    </row>
    <row r="361" spans="7:11">
      <c r="G361" s="241" t="s">
        <v>1630</v>
      </c>
      <c r="H361" s="236" t="s">
        <v>1631</v>
      </c>
      <c r="J361" s="238" t="s">
        <v>1632</v>
      </c>
      <c r="K361" s="236" t="s">
        <v>1633</v>
      </c>
    </row>
    <row r="362" spans="7:11">
      <c r="G362" s="241" t="s">
        <v>1634</v>
      </c>
      <c r="H362" s="236" t="s">
        <v>1635</v>
      </c>
      <c r="J362" s="238" t="s">
        <v>1636</v>
      </c>
      <c r="K362" s="236" t="s">
        <v>1637</v>
      </c>
    </row>
    <row r="363" spans="7:11">
      <c r="G363" s="241" t="s">
        <v>1638</v>
      </c>
      <c r="H363" s="236" t="s">
        <v>1639</v>
      </c>
      <c r="J363" s="238" t="s">
        <v>1640</v>
      </c>
      <c r="K363" s="236" t="s">
        <v>1641</v>
      </c>
    </row>
    <row r="364" spans="7:11">
      <c r="G364" s="241" t="s">
        <v>1642</v>
      </c>
      <c r="H364" s="236" t="s">
        <v>1643</v>
      </c>
      <c r="J364" s="238" t="s">
        <v>1644</v>
      </c>
      <c r="K364" s="236" t="s">
        <v>1645</v>
      </c>
    </row>
    <row r="365" spans="7:11">
      <c r="G365" s="241" t="s">
        <v>1646</v>
      </c>
      <c r="H365" s="236" t="s">
        <v>1647</v>
      </c>
      <c r="J365" s="238" t="s">
        <v>1648</v>
      </c>
      <c r="K365" s="236" t="s">
        <v>58</v>
      </c>
    </row>
    <row r="366" spans="7:11">
      <c r="G366" s="241" t="s">
        <v>1649</v>
      </c>
      <c r="H366" s="236" t="s">
        <v>1650</v>
      </c>
      <c r="J366" s="238" t="s">
        <v>1651</v>
      </c>
      <c r="K366" s="236" t="s">
        <v>64</v>
      </c>
    </row>
    <row r="367" spans="7:11">
      <c r="G367" s="241" t="s">
        <v>1652</v>
      </c>
      <c r="H367" s="236" t="s">
        <v>1653</v>
      </c>
      <c r="J367" s="238" t="s">
        <v>1654</v>
      </c>
      <c r="K367" s="236" t="s">
        <v>649</v>
      </c>
    </row>
    <row r="368" spans="7:11">
      <c r="G368" s="241" t="s">
        <v>1655</v>
      </c>
      <c r="H368" s="236" t="s">
        <v>1656</v>
      </c>
      <c r="J368" s="238" t="s">
        <v>1657</v>
      </c>
      <c r="K368" s="236" t="s">
        <v>653</v>
      </c>
    </row>
    <row r="369" spans="7:11">
      <c r="G369" s="241" t="s">
        <v>1658</v>
      </c>
      <c r="H369" s="236" t="s">
        <v>1659</v>
      </c>
      <c r="J369" s="238" t="s">
        <v>1660</v>
      </c>
      <c r="K369" s="236" t="s">
        <v>657</v>
      </c>
    </row>
    <row r="370" spans="7:11">
      <c r="G370" s="241" t="s">
        <v>1661</v>
      </c>
      <c r="H370" s="236" t="s">
        <v>1662</v>
      </c>
      <c r="J370" s="238" t="s">
        <v>1663</v>
      </c>
      <c r="K370" s="236" t="s">
        <v>661</v>
      </c>
    </row>
    <row r="371" spans="7:11">
      <c r="G371" s="241" t="s">
        <v>1664</v>
      </c>
      <c r="H371" s="236" t="s">
        <v>1665</v>
      </c>
      <c r="J371" s="238" t="s">
        <v>1666</v>
      </c>
      <c r="K371" s="236" t="s">
        <v>665</v>
      </c>
    </row>
    <row r="372" spans="7:11">
      <c r="G372" s="241" t="s">
        <v>1667</v>
      </c>
      <c r="H372" s="236" t="s">
        <v>1668</v>
      </c>
      <c r="J372" s="238" t="s">
        <v>1669</v>
      </c>
      <c r="K372" s="236" t="s">
        <v>58</v>
      </c>
    </row>
    <row r="373" spans="7:11">
      <c r="G373" s="241" t="s">
        <v>1670</v>
      </c>
      <c r="H373" s="236" t="s">
        <v>1671</v>
      </c>
      <c r="J373" s="238" t="s">
        <v>1672</v>
      </c>
      <c r="K373" s="236" t="s">
        <v>64</v>
      </c>
    </row>
    <row r="374" spans="7:11">
      <c r="G374" s="241" t="s">
        <v>1673</v>
      </c>
      <c r="H374" s="236" t="s">
        <v>1674</v>
      </c>
      <c r="J374" s="238" t="s">
        <v>1675</v>
      </c>
      <c r="K374" s="236" t="s">
        <v>1676</v>
      </c>
    </row>
    <row r="375" spans="7:11">
      <c r="G375" s="241" t="s">
        <v>1677</v>
      </c>
      <c r="H375" s="236" t="s">
        <v>1678</v>
      </c>
      <c r="J375" s="238" t="s">
        <v>1679</v>
      </c>
      <c r="K375" s="236" t="s">
        <v>1680</v>
      </c>
    </row>
    <row r="376" spans="7:11">
      <c r="G376" s="241" t="s">
        <v>1681</v>
      </c>
      <c r="H376" s="236" t="s">
        <v>1682</v>
      </c>
      <c r="J376" s="238" t="s">
        <v>1683</v>
      </c>
      <c r="K376" s="236" t="s">
        <v>1684</v>
      </c>
    </row>
    <row r="377" spans="7:11">
      <c r="G377" s="241" t="s">
        <v>1685</v>
      </c>
      <c r="H377" s="236" t="s">
        <v>1686</v>
      </c>
      <c r="J377" s="238" t="s">
        <v>1687</v>
      </c>
      <c r="K377" s="236" t="s">
        <v>1688</v>
      </c>
    </row>
    <row r="378" spans="7:11">
      <c r="G378" s="241" t="s">
        <v>1689</v>
      </c>
      <c r="H378" s="236" t="s">
        <v>1690</v>
      </c>
      <c r="J378" s="238" t="s">
        <v>1691</v>
      </c>
      <c r="K378" s="236" t="s">
        <v>1692</v>
      </c>
    </row>
    <row r="379" spans="7:11">
      <c r="G379" s="241" t="s">
        <v>1693</v>
      </c>
      <c r="H379" s="236" t="s">
        <v>1694</v>
      </c>
      <c r="J379" s="238" t="s">
        <v>1695</v>
      </c>
      <c r="K379" s="236" t="s">
        <v>1696</v>
      </c>
    </row>
    <row r="380" spans="7:11">
      <c r="G380" s="241" t="s">
        <v>1697</v>
      </c>
      <c r="H380" s="236" t="s">
        <v>1698</v>
      </c>
      <c r="J380" s="238" t="s">
        <v>1699</v>
      </c>
      <c r="K380" s="236" t="s">
        <v>1700</v>
      </c>
    </row>
    <row r="381" spans="7:11">
      <c r="G381" s="241" t="s">
        <v>1701</v>
      </c>
      <c r="H381" s="236" t="s">
        <v>1702</v>
      </c>
      <c r="J381" s="238" t="s">
        <v>1703</v>
      </c>
      <c r="K381" s="236" t="s">
        <v>1704</v>
      </c>
    </row>
    <row r="382" spans="7:11">
      <c r="G382" s="241" t="s">
        <v>1705</v>
      </c>
      <c r="H382" s="236" t="s">
        <v>1706</v>
      </c>
      <c r="J382" s="238" t="s">
        <v>1707</v>
      </c>
      <c r="K382" s="236" t="s">
        <v>1708</v>
      </c>
    </row>
    <row r="383" spans="7:11">
      <c r="G383" s="241" t="s">
        <v>1709</v>
      </c>
      <c r="H383" s="236" t="s">
        <v>1710</v>
      </c>
      <c r="J383" s="238" t="s">
        <v>1711</v>
      </c>
      <c r="K383" s="236" t="s">
        <v>1712</v>
      </c>
    </row>
    <row r="384" spans="7:11">
      <c r="G384" s="241" t="s">
        <v>1713</v>
      </c>
      <c r="H384" s="236" t="s">
        <v>1714</v>
      </c>
      <c r="J384" s="238" t="s">
        <v>1715</v>
      </c>
      <c r="K384" s="236" t="s">
        <v>1716</v>
      </c>
    </row>
    <row r="385" spans="7:11">
      <c r="G385" s="241" t="s">
        <v>1717</v>
      </c>
      <c r="H385" s="236" t="s">
        <v>1718</v>
      </c>
      <c r="J385" s="238" t="s">
        <v>1719</v>
      </c>
      <c r="K385" s="236" t="s">
        <v>1720</v>
      </c>
    </row>
    <row r="386" spans="7:11">
      <c r="G386" s="241" t="s">
        <v>1721</v>
      </c>
      <c r="H386" s="236" t="s">
        <v>1722</v>
      </c>
      <c r="J386" s="238" t="s">
        <v>1723</v>
      </c>
      <c r="K386" s="236" t="s">
        <v>1724</v>
      </c>
    </row>
    <row r="387" spans="7:11">
      <c r="G387" s="241" t="s">
        <v>1725</v>
      </c>
      <c r="H387" s="236" t="s">
        <v>1726</v>
      </c>
      <c r="J387" s="238" t="s">
        <v>1727</v>
      </c>
      <c r="K387" s="236" t="s">
        <v>1728</v>
      </c>
    </row>
    <row r="388" spans="7:11">
      <c r="G388" s="241" t="s">
        <v>1729</v>
      </c>
      <c r="H388" s="236" t="s">
        <v>1730</v>
      </c>
      <c r="J388" s="238" t="s">
        <v>1731</v>
      </c>
      <c r="K388" s="236" t="s">
        <v>1732</v>
      </c>
    </row>
    <row r="389" spans="7:11">
      <c r="G389" s="241" t="s">
        <v>1733</v>
      </c>
      <c r="H389" s="236" t="s">
        <v>1734</v>
      </c>
      <c r="J389" s="238" t="s">
        <v>1735</v>
      </c>
      <c r="K389" s="236" t="s">
        <v>1736</v>
      </c>
    </row>
    <row r="390" spans="7:11">
      <c r="G390" s="241" t="s">
        <v>1737</v>
      </c>
      <c r="H390" s="236" t="s">
        <v>1738</v>
      </c>
      <c r="J390" s="238" t="s">
        <v>1739</v>
      </c>
      <c r="K390" s="236" t="s">
        <v>1740</v>
      </c>
    </row>
    <row r="391" spans="7:11">
      <c r="G391" s="241" t="s">
        <v>1741</v>
      </c>
      <c r="H391" s="236" t="s">
        <v>1742</v>
      </c>
      <c r="J391" s="238" t="s">
        <v>1743</v>
      </c>
      <c r="K391" s="236" t="s">
        <v>1744</v>
      </c>
    </row>
    <row r="392" spans="7:11">
      <c r="G392" s="241" t="s">
        <v>1745</v>
      </c>
      <c r="H392" s="236" t="s">
        <v>1746</v>
      </c>
      <c r="J392" s="238" t="s">
        <v>1747</v>
      </c>
      <c r="K392" s="236" t="s">
        <v>1748</v>
      </c>
    </row>
    <row r="393" spans="7:11">
      <c r="G393" s="241" t="s">
        <v>1749</v>
      </c>
      <c r="H393" s="236" t="s">
        <v>1750</v>
      </c>
      <c r="J393" s="238" t="s">
        <v>1751</v>
      </c>
      <c r="K393" s="236" t="s">
        <v>1752</v>
      </c>
    </row>
    <row r="394" spans="7:11">
      <c r="G394" s="241" t="s">
        <v>1753</v>
      </c>
      <c r="H394" s="236" t="s">
        <v>1754</v>
      </c>
      <c r="J394" s="238" t="s">
        <v>1755</v>
      </c>
      <c r="K394" s="236" t="s">
        <v>1756</v>
      </c>
    </row>
    <row r="395" spans="7:11">
      <c r="G395" s="241" t="s">
        <v>1757</v>
      </c>
      <c r="H395" s="236" t="s">
        <v>1758</v>
      </c>
      <c r="J395" s="238" t="s">
        <v>1759</v>
      </c>
      <c r="K395" s="236" t="s">
        <v>1760</v>
      </c>
    </row>
    <row r="396" spans="7:11">
      <c r="G396" s="241" t="s">
        <v>1761</v>
      </c>
      <c r="H396" s="236" t="s">
        <v>1762</v>
      </c>
      <c r="J396" s="238" t="s">
        <v>1763</v>
      </c>
      <c r="K396" s="236" t="s">
        <v>1764</v>
      </c>
    </row>
    <row r="397" spans="7:11">
      <c r="G397" s="241" t="s">
        <v>1765</v>
      </c>
      <c r="H397" s="236" t="s">
        <v>1766</v>
      </c>
      <c r="J397" s="238" t="s">
        <v>1767</v>
      </c>
      <c r="K397" s="236" t="s">
        <v>1768</v>
      </c>
    </row>
    <row r="398" spans="7:11">
      <c r="G398" s="241" t="s">
        <v>1769</v>
      </c>
      <c r="H398" s="236" t="s">
        <v>1770</v>
      </c>
      <c r="J398" s="238" t="s">
        <v>1771</v>
      </c>
      <c r="K398" s="236" t="s">
        <v>1772</v>
      </c>
    </row>
    <row r="399" spans="7:11">
      <c r="G399" s="241" t="s">
        <v>1773</v>
      </c>
      <c r="H399" s="236" t="s">
        <v>1774</v>
      </c>
      <c r="J399" s="238" t="s">
        <v>1775</v>
      </c>
      <c r="K399" s="236" t="s">
        <v>58</v>
      </c>
    </row>
    <row r="400" spans="7:11">
      <c r="G400" s="241" t="s">
        <v>1776</v>
      </c>
      <c r="H400" s="236" t="s">
        <v>1777</v>
      </c>
      <c r="J400" s="238" t="s">
        <v>1778</v>
      </c>
      <c r="K400" s="236" t="s">
        <v>64</v>
      </c>
    </row>
    <row r="401" spans="7:11">
      <c r="G401" s="241" t="s">
        <v>1779</v>
      </c>
      <c r="H401" s="236" t="s">
        <v>1780</v>
      </c>
      <c r="J401" s="238" t="s">
        <v>1781</v>
      </c>
      <c r="K401" s="236" t="s">
        <v>1782</v>
      </c>
    </row>
    <row r="402" spans="7:11">
      <c r="G402" s="241" t="s">
        <v>1783</v>
      </c>
      <c r="H402" s="236" t="s">
        <v>1784</v>
      </c>
      <c r="J402" s="238" t="s">
        <v>1785</v>
      </c>
      <c r="K402" s="236" t="s">
        <v>1786</v>
      </c>
    </row>
    <row r="403" spans="7:11">
      <c r="G403" s="241" t="s">
        <v>1787</v>
      </c>
      <c r="H403" s="236" t="s">
        <v>472</v>
      </c>
      <c r="J403" s="238" t="s">
        <v>1788</v>
      </c>
      <c r="K403" s="236" t="s">
        <v>1789</v>
      </c>
    </row>
    <row r="404" spans="7:11">
      <c r="G404" s="241" t="s">
        <v>1790</v>
      </c>
      <c r="H404" s="236" t="s">
        <v>1791</v>
      </c>
      <c r="J404" s="238" t="s">
        <v>1792</v>
      </c>
      <c r="K404" s="236" t="s">
        <v>1793</v>
      </c>
    </row>
    <row r="405" spans="7:11">
      <c r="G405" s="241" t="s">
        <v>1794</v>
      </c>
      <c r="H405" s="236" t="s">
        <v>1795</v>
      </c>
      <c r="J405" s="238" t="s">
        <v>1796</v>
      </c>
      <c r="K405" s="236" t="s">
        <v>1797</v>
      </c>
    </row>
    <row r="406" spans="7:11">
      <c r="G406" s="241" t="s">
        <v>1798</v>
      </c>
      <c r="H406" s="236" t="s">
        <v>1799</v>
      </c>
      <c r="J406" s="238" t="s">
        <v>1800</v>
      </c>
      <c r="K406" s="236" t="s">
        <v>1801</v>
      </c>
    </row>
    <row r="407" spans="7:11">
      <c r="G407" s="241" t="s">
        <v>1802</v>
      </c>
      <c r="H407" s="236" t="s">
        <v>1803</v>
      </c>
      <c r="J407" s="238" t="s">
        <v>1804</v>
      </c>
      <c r="K407" s="236" t="s">
        <v>1805</v>
      </c>
    </row>
    <row r="408" spans="7:11">
      <c r="G408" s="241" t="s">
        <v>1806</v>
      </c>
      <c r="H408" s="236" t="s">
        <v>1807</v>
      </c>
      <c r="J408" s="238" t="s">
        <v>1808</v>
      </c>
      <c r="K408" s="236" t="s">
        <v>1809</v>
      </c>
    </row>
    <row r="409" spans="7:11">
      <c r="G409" s="241" t="s">
        <v>1810</v>
      </c>
      <c r="H409" s="236" t="s">
        <v>1811</v>
      </c>
      <c r="J409" s="238" t="s">
        <v>1812</v>
      </c>
      <c r="K409" s="236" t="s">
        <v>1813</v>
      </c>
    </row>
    <row r="410" spans="7:11">
      <c r="G410" s="241" t="s">
        <v>1814</v>
      </c>
      <c r="H410" s="236" t="s">
        <v>1815</v>
      </c>
      <c r="J410" s="238" t="s">
        <v>1816</v>
      </c>
      <c r="K410" s="236" t="s">
        <v>1817</v>
      </c>
    </row>
    <row r="411" spans="7:11">
      <c r="G411" s="241" t="s">
        <v>1818</v>
      </c>
      <c r="H411" s="236" t="s">
        <v>1819</v>
      </c>
      <c r="J411" s="238" t="s">
        <v>1820</v>
      </c>
      <c r="K411" s="236" t="s">
        <v>1821</v>
      </c>
    </row>
    <row r="412" spans="7:11">
      <c r="G412" s="241" t="s">
        <v>1822</v>
      </c>
      <c r="H412" s="236" t="s">
        <v>1823</v>
      </c>
      <c r="J412" s="238" t="s">
        <v>1824</v>
      </c>
      <c r="K412" s="236" t="s">
        <v>1825</v>
      </c>
    </row>
    <row r="413" spans="7:11">
      <c r="G413" s="241" t="s">
        <v>1826</v>
      </c>
      <c r="H413" s="236" t="s">
        <v>1827</v>
      </c>
      <c r="J413" s="238" t="s">
        <v>1828</v>
      </c>
      <c r="K413" s="236" t="s">
        <v>1829</v>
      </c>
    </row>
    <row r="414" spans="7:11">
      <c r="G414" s="241" t="s">
        <v>1830</v>
      </c>
      <c r="H414" s="236" t="s">
        <v>1831</v>
      </c>
      <c r="J414" s="238" t="s">
        <v>1832</v>
      </c>
      <c r="K414" s="236" t="s">
        <v>58</v>
      </c>
    </row>
    <row r="415" spans="7:11">
      <c r="G415" s="241" t="s">
        <v>1833</v>
      </c>
      <c r="H415" s="236" t="s">
        <v>1834</v>
      </c>
      <c r="J415" s="238" t="s">
        <v>1835</v>
      </c>
      <c r="K415" s="236" t="s">
        <v>64</v>
      </c>
    </row>
    <row r="416" spans="7:11">
      <c r="G416" s="241" t="s">
        <v>1836</v>
      </c>
      <c r="H416" s="236" t="s">
        <v>1837</v>
      </c>
      <c r="J416" s="238" t="s">
        <v>1838</v>
      </c>
      <c r="K416" s="236" t="s">
        <v>720</v>
      </c>
    </row>
    <row r="417" spans="7:11">
      <c r="G417" s="241" t="s">
        <v>1839</v>
      </c>
      <c r="H417" s="236" t="s">
        <v>1840</v>
      </c>
      <c r="J417" s="238" t="s">
        <v>1841</v>
      </c>
      <c r="K417" s="236" t="s">
        <v>724</v>
      </c>
    </row>
    <row r="418" spans="7:11">
      <c r="G418" s="241" t="s">
        <v>1842</v>
      </c>
      <c r="H418" s="236" t="s">
        <v>1843</v>
      </c>
      <c r="J418" s="238" t="s">
        <v>1844</v>
      </c>
      <c r="K418" s="236" t="s">
        <v>727</v>
      </c>
    </row>
    <row r="419" spans="7:11">
      <c r="G419" s="241" t="s">
        <v>1845</v>
      </c>
      <c r="H419" s="236" t="s">
        <v>1846</v>
      </c>
      <c r="J419" s="238" t="s">
        <v>1847</v>
      </c>
      <c r="K419" s="236" t="s">
        <v>730</v>
      </c>
    </row>
    <row r="420" spans="7:11">
      <c r="G420" s="241" t="s">
        <v>1848</v>
      </c>
      <c r="H420" s="236" t="s">
        <v>1849</v>
      </c>
      <c r="J420" s="238" t="s">
        <v>1850</v>
      </c>
      <c r="K420" s="236" t="s">
        <v>734</v>
      </c>
    </row>
    <row r="421" spans="7:11">
      <c r="G421" s="241" t="s">
        <v>1851</v>
      </c>
      <c r="H421" s="236" t="s">
        <v>1852</v>
      </c>
      <c r="J421" s="238" t="s">
        <v>1853</v>
      </c>
      <c r="K421" s="236" t="s">
        <v>738</v>
      </c>
    </row>
    <row r="422" spans="7:11">
      <c r="G422" s="241" t="s">
        <v>1854</v>
      </c>
      <c r="H422" s="236" t="s">
        <v>1855</v>
      </c>
      <c r="J422" s="238" t="s">
        <v>1856</v>
      </c>
      <c r="K422" s="236" t="s">
        <v>1857</v>
      </c>
    </row>
    <row r="423" spans="7:11">
      <c r="G423" s="241" t="s">
        <v>1858</v>
      </c>
      <c r="H423" s="236" t="s">
        <v>1859</v>
      </c>
      <c r="J423" s="238" t="s">
        <v>1860</v>
      </c>
      <c r="K423" s="236" t="s">
        <v>1861</v>
      </c>
    </row>
    <row r="424" spans="7:11">
      <c r="G424" s="241" t="s">
        <v>1862</v>
      </c>
      <c r="H424" s="236" t="s">
        <v>1863</v>
      </c>
      <c r="J424" s="238" t="s">
        <v>1864</v>
      </c>
      <c r="K424" s="236" t="s">
        <v>746</v>
      </c>
    </row>
    <row r="425" spans="7:11">
      <c r="G425" s="241" t="s">
        <v>1865</v>
      </c>
      <c r="H425" s="236" t="s">
        <v>1866</v>
      </c>
      <c r="J425" s="238" t="s">
        <v>1867</v>
      </c>
      <c r="K425" s="236" t="s">
        <v>750</v>
      </c>
    </row>
    <row r="426" spans="7:11">
      <c r="G426" s="241" t="s">
        <v>1868</v>
      </c>
      <c r="H426" s="236" t="s">
        <v>1869</v>
      </c>
      <c r="J426" s="238" t="s">
        <v>1870</v>
      </c>
      <c r="K426" s="236" t="s">
        <v>58</v>
      </c>
    </row>
    <row r="427" spans="7:11">
      <c r="G427" s="241" t="s">
        <v>1871</v>
      </c>
      <c r="H427" s="236" t="s">
        <v>1872</v>
      </c>
      <c r="J427" s="238" t="s">
        <v>1873</v>
      </c>
      <c r="K427" s="236" t="s">
        <v>64</v>
      </c>
    </row>
    <row r="428" spans="7:11">
      <c r="G428" s="241" t="s">
        <v>1874</v>
      </c>
      <c r="H428" s="236" t="s">
        <v>1875</v>
      </c>
      <c r="J428" s="238" t="s">
        <v>1876</v>
      </c>
      <c r="K428" s="236" t="s">
        <v>1877</v>
      </c>
    </row>
    <row r="429" spans="7:11">
      <c r="G429" s="241" t="s">
        <v>1878</v>
      </c>
      <c r="H429" s="236" t="s">
        <v>1879</v>
      </c>
      <c r="J429" s="238" t="s">
        <v>1880</v>
      </c>
      <c r="K429" s="236" t="s">
        <v>1881</v>
      </c>
    </row>
    <row r="430" spans="7:11">
      <c r="G430" s="241" t="s">
        <v>1882</v>
      </c>
      <c r="H430" s="236" t="s">
        <v>1883</v>
      </c>
      <c r="J430" s="238" t="s">
        <v>1884</v>
      </c>
      <c r="K430" s="236" t="s">
        <v>1885</v>
      </c>
    </row>
    <row r="431" spans="7:11">
      <c r="G431" s="241" t="s">
        <v>1886</v>
      </c>
      <c r="H431" s="236" t="s">
        <v>1887</v>
      </c>
      <c r="J431" s="238" t="s">
        <v>1888</v>
      </c>
      <c r="K431" s="236" t="s">
        <v>1889</v>
      </c>
    </row>
    <row r="432" spans="7:11">
      <c r="G432" s="241" t="s">
        <v>1890</v>
      </c>
      <c r="H432" s="236" t="s">
        <v>1891</v>
      </c>
      <c r="J432" s="238" t="s">
        <v>1892</v>
      </c>
      <c r="K432" s="236" t="s">
        <v>1893</v>
      </c>
    </row>
    <row r="433" spans="7:11">
      <c r="G433" s="241" t="s">
        <v>1894</v>
      </c>
      <c r="H433" s="236" t="s">
        <v>1895</v>
      </c>
      <c r="J433" s="238" t="s">
        <v>1896</v>
      </c>
      <c r="K433" s="236" t="s">
        <v>1897</v>
      </c>
    </row>
    <row r="434" spans="7:11">
      <c r="G434" s="241" t="s">
        <v>1898</v>
      </c>
      <c r="H434" s="236" t="s">
        <v>1899</v>
      </c>
      <c r="J434" s="238" t="s">
        <v>1900</v>
      </c>
      <c r="K434" s="236" t="s">
        <v>1901</v>
      </c>
    </row>
    <row r="435" spans="7:11">
      <c r="G435" s="241" t="s">
        <v>1902</v>
      </c>
      <c r="H435" s="236" t="s">
        <v>1903</v>
      </c>
      <c r="J435" s="238" t="s">
        <v>1904</v>
      </c>
      <c r="K435" s="236" t="s">
        <v>1905</v>
      </c>
    </row>
    <row r="436" spans="7:11">
      <c r="G436" s="241" t="s">
        <v>1906</v>
      </c>
      <c r="H436" s="236" t="s">
        <v>1907</v>
      </c>
      <c r="J436" s="238" t="s">
        <v>1908</v>
      </c>
      <c r="K436" s="236" t="s">
        <v>1909</v>
      </c>
    </row>
    <row r="437" spans="7:11">
      <c r="G437" s="241" t="s">
        <v>1910</v>
      </c>
      <c r="H437" s="236" t="s">
        <v>1911</v>
      </c>
      <c r="J437" s="238" t="s">
        <v>1912</v>
      </c>
      <c r="K437" s="236" t="s">
        <v>1913</v>
      </c>
    </row>
    <row r="438" spans="7:11">
      <c r="G438" s="241" t="s">
        <v>1914</v>
      </c>
      <c r="H438" s="236" t="s">
        <v>1915</v>
      </c>
      <c r="J438" s="238" t="s">
        <v>1916</v>
      </c>
      <c r="K438" s="236" t="s">
        <v>1917</v>
      </c>
    </row>
    <row r="439" spans="7:11">
      <c r="G439" s="241" t="s">
        <v>1918</v>
      </c>
      <c r="H439" s="236" t="s">
        <v>1919</v>
      </c>
      <c r="J439" s="238" t="s">
        <v>1920</v>
      </c>
      <c r="K439" s="236" t="s">
        <v>1921</v>
      </c>
    </row>
    <row r="440" spans="7:11">
      <c r="G440" s="241" t="s">
        <v>1922</v>
      </c>
      <c r="H440" s="236" t="s">
        <v>1923</v>
      </c>
      <c r="J440" s="238" t="s">
        <v>1924</v>
      </c>
      <c r="K440" s="236" t="s">
        <v>1925</v>
      </c>
    </row>
    <row r="441" spans="7:11">
      <c r="G441" s="241" t="s">
        <v>1926</v>
      </c>
      <c r="H441" s="236" t="s">
        <v>1927</v>
      </c>
      <c r="J441" s="238" t="s">
        <v>1928</v>
      </c>
      <c r="K441" s="236" t="s">
        <v>1929</v>
      </c>
    </row>
    <row r="442" spans="7:11">
      <c r="G442" s="241" t="s">
        <v>1930</v>
      </c>
      <c r="H442" s="236" t="s">
        <v>1931</v>
      </c>
      <c r="J442" s="238" t="s">
        <v>1932</v>
      </c>
      <c r="K442" s="236" t="s">
        <v>1933</v>
      </c>
    </row>
    <row r="443" spans="7:11">
      <c r="G443" s="241" t="s">
        <v>1934</v>
      </c>
      <c r="H443" s="236" t="s">
        <v>1935</v>
      </c>
      <c r="J443" s="238" t="s">
        <v>1936</v>
      </c>
      <c r="K443" s="236" t="s">
        <v>1937</v>
      </c>
    </row>
    <row r="444" spans="7:11">
      <c r="G444" s="241" t="s">
        <v>1938</v>
      </c>
      <c r="H444" s="236" t="s">
        <v>1939</v>
      </c>
      <c r="J444" s="238" t="s">
        <v>1940</v>
      </c>
      <c r="K444" s="236" t="s">
        <v>1941</v>
      </c>
    </row>
    <row r="445" spans="7:11">
      <c r="G445" s="241" t="s">
        <v>1942</v>
      </c>
      <c r="H445" s="236" t="s">
        <v>1943</v>
      </c>
      <c r="J445" s="238" t="s">
        <v>1944</v>
      </c>
      <c r="K445" s="236" t="s">
        <v>1945</v>
      </c>
    </row>
    <row r="446" spans="7:11">
      <c r="G446" s="241" t="s">
        <v>1946</v>
      </c>
      <c r="H446" s="236" t="s">
        <v>1947</v>
      </c>
      <c r="J446" s="238" t="s">
        <v>1948</v>
      </c>
      <c r="K446" s="236" t="s">
        <v>1949</v>
      </c>
    </row>
    <row r="447" spans="7:11">
      <c r="G447" s="241" t="s">
        <v>1950</v>
      </c>
      <c r="H447" s="236" t="s">
        <v>1951</v>
      </c>
      <c r="J447" s="238" t="s">
        <v>1952</v>
      </c>
      <c r="K447" s="236" t="s">
        <v>1953</v>
      </c>
    </row>
    <row r="448" spans="7:11">
      <c r="G448" s="241" t="s">
        <v>1954</v>
      </c>
      <c r="H448" s="236" t="s">
        <v>1955</v>
      </c>
      <c r="J448" s="238" t="s">
        <v>1956</v>
      </c>
      <c r="K448" s="236" t="s">
        <v>1957</v>
      </c>
    </row>
    <row r="449" spans="7:11">
      <c r="G449" s="241" t="s">
        <v>1958</v>
      </c>
      <c r="H449" s="236" t="s">
        <v>1959</v>
      </c>
      <c r="J449" s="238" t="s">
        <v>1960</v>
      </c>
      <c r="K449" s="236" t="s">
        <v>1961</v>
      </c>
    </row>
    <row r="450" spans="7:11">
      <c r="G450" s="241" t="s">
        <v>1962</v>
      </c>
      <c r="H450" s="236" t="s">
        <v>1963</v>
      </c>
      <c r="J450" s="238" t="s">
        <v>1964</v>
      </c>
      <c r="K450" s="236" t="s">
        <v>1965</v>
      </c>
    </row>
    <row r="451" spans="7:11">
      <c r="G451" s="241" t="s">
        <v>1966</v>
      </c>
      <c r="H451" s="236" t="s">
        <v>1967</v>
      </c>
      <c r="J451" s="238" t="s">
        <v>1968</v>
      </c>
      <c r="K451" s="236" t="s">
        <v>1969</v>
      </c>
    </row>
    <row r="452" spans="7:11">
      <c r="G452" s="241" t="s">
        <v>1970</v>
      </c>
      <c r="H452" s="236" t="s">
        <v>1971</v>
      </c>
      <c r="J452" s="238" t="s">
        <v>1972</v>
      </c>
      <c r="K452" s="236" t="s">
        <v>1973</v>
      </c>
    </row>
    <row r="453" spans="7:11">
      <c r="G453" s="241" t="s">
        <v>1974</v>
      </c>
      <c r="H453" s="236" t="s">
        <v>1975</v>
      </c>
      <c r="J453" s="238" t="s">
        <v>1976</v>
      </c>
      <c r="K453" s="236" t="s">
        <v>1977</v>
      </c>
    </row>
    <row r="454" spans="7:11">
      <c r="G454" s="241" t="s">
        <v>1978</v>
      </c>
      <c r="H454" s="236" t="s">
        <v>1979</v>
      </c>
      <c r="J454" s="238" t="s">
        <v>1980</v>
      </c>
      <c r="K454" s="236" t="s">
        <v>1981</v>
      </c>
    </row>
    <row r="455" spans="7:11">
      <c r="G455" s="241" t="s">
        <v>1982</v>
      </c>
      <c r="H455" s="236" t="s">
        <v>1983</v>
      </c>
      <c r="J455" s="238" t="s">
        <v>1984</v>
      </c>
      <c r="K455" s="236" t="s">
        <v>1985</v>
      </c>
    </row>
    <row r="456" spans="7:11">
      <c r="G456" s="241" t="s">
        <v>1986</v>
      </c>
      <c r="H456" s="236" t="s">
        <v>1987</v>
      </c>
      <c r="J456" s="238" t="s">
        <v>1988</v>
      </c>
      <c r="K456" s="236" t="s">
        <v>1989</v>
      </c>
    </row>
    <row r="457" spans="7:11">
      <c r="G457" s="241" t="s">
        <v>1990</v>
      </c>
      <c r="H457" s="236" t="s">
        <v>1991</v>
      </c>
      <c r="J457" s="238" t="s">
        <v>1992</v>
      </c>
      <c r="K457" s="236" t="s">
        <v>1993</v>
      </c>
    </row>
    <row r="458" spans="7:11">
      <c r="G458" s="241" t="s">
        <v>1994</v>
      </c>
      <c r="H458" s="236" t="s">
        <v>1995</v>
      </c>
      <c r="J458" s="238" t="s">
        <v>1996</v>
      </c>
      <c r="K458" s="236" t="s">
        <v>1997</v>
      </c>
    </row>
    <row r="459" spans="7:11">
      <c r="G459" s="241" t="s">
        <v>1998</v>
      </c>
      <c r="H459" s="236" t="s">
        <v>1999</v>
      </c>
      <c r="J459" s="238" t="s">
        <v>2000</v>
      </c>
      <c r="K459" s="236" t="s">
        <v>2001</v>
      </c>
    </row>
    <row r="460" spans="7:11">
      <c r="G460" s="241" t="s">
        <v>2002</v>
      </c>
      <c r="H460" s="236" t="s">
        <v>2003</v>
      </c>
      <c r="J460" s="238" t="s">
        <v>2004</v>
      </c>
      <c r="K460" s="236" t="s">
        <v>2005</v>
      </c>
    </row>
    <row r="461" spans="7:11">
      <c r="G461" s="241" t="s">
        <v>2006</v>
      </c>
      <c r="H461" s="236" t="s">
        <v>2007</v>
      </c>
      <c r="J461" s="238" t="s">
        <v>2008</v>
      </c>
      <c r="K461" s="236" t="s">
        <v>2009</v>
      </c>
    </row>
    <row r="462" spans="7:11">
      <c r="G462" s="241" t="s">
        <v>2010</v>
      </c>
      <c r="H462" s="236" t="s">
        <v>2011</v>
      </c>
      <c r="J462" s="238" t="s">
        <v>2012</v>
      </c>
      <c r="K462" s="236" t="s">
        <v>2013</v>
      </c>
    </row>
    <row r="463" spans="7:11">
      <c r="G463" s="241" t="s">
        <v>2014</v>
      </c>
      <c r="H463" s="236" t="s">
        <v>2015</v>
      </c>
      <c r="J463" s="238" t="s">
        <v>2016</v>
      </c>
      <c r="K463" s="236" t="s">
        <v>2017</v>
      </c>
    </row>
    <row r="464" spans="7:11">
      <c r="G464" s="241" t="s">
        <v>2018</v>
      </c>
      <c r="H464" s="236" t="s">
        <v>2019</v>
      </c>
      <c r="J464" s="238" t="s">
        <v>2020</v>
      </c>
      <c r="K464" s="236" t="s">
        <v>2021</v>
      </c>
    </row>
    <row r="465" spans="7:11">
      <c r="G465" s="241" t="s">
        <v>2022</v>
      </c>
      <c r="H465" s="236" t="s">
        <v>2023</v>
      </c>
      <c r="J465" s="238" t="s">
        <v>2024</v>
      </c>
      <c r="K465" s="236" t="s">
        <v>2025</v>
      </c>
    </row>
    <row r="466" spans="7:11">
      <c r="G466" s="241" t="s">
        <v>2026</v>
      </c>
      <c r="H466" s="236" t="s">
        <v>2027</v>
      </c>
      <c r="J466" s="238" t="s">
        <v>2028</v>
      </c>
      <c r="K466" s="236" t="s">
        <v>2029</v>
      </c>
    </row>
    <row r="467" spans="7:11">
      <c r="G467" s="241" t="s">
        <v>2030</v>
      </c>
      <c r="H467" s="236" t="s">
        <v>2031</v>
      </c>
      <c r="J467" s="238" t="s">
        <v>2032</v>
      </c>
      <c r="K467" s="236" t="s">
        <v>2033</v>
      </c>
    </row>
    <row r="468" spans="7:11">
      <c r="G468" s="241" t="s">
        <v>2034</v>
      </c>
      <c r="H468" s="236" t="s">
        <v>2035</v>
      </c>
      <c r="J468" s="238" t="s">
        <v>2036</v>
      </c>
      <c r="K468" s="236" t="s">
        <v>2037</v>
      </c>
    </row>
    <row r="469" spans="7:11">
      <c r="G469" s="241" t="s">
        <v>2038</v>
      </c>
      <c r="H469" s="236" t="s">
        <v>2039</v>
      </c>
      <c r="J469" s="238" t="s">
        <v>2040</v>
      </c>
      <c r="K469" s="236" t="s">
        <v>2041</v>
      </c>
    </row>
    <row r="470" spans="7:11">
      <c r="G470" s="241" t="s">
        <v>2042</v>
      </c>
      <c r="H470" s="236" t="s">
        <v>2043</v>
      </c>
      <c r="J470" s="238" t="s">
        <v>2044</v>
      </c>
      <c r="K470" s="236" t="s">
        <v>2045</v>
      </c>
    </row>
    <row r="471" spans="7:11">
      <c r="G471" s="241" t="s">
        <v>2046</v>
      </c>
      <c r="H471" s="236" t="s">
        <v>2047</v>
      </c>
      <c r="J471" s="238" t="s">
        <v>2048</v>
      </c>
      <c r="K471" s="236" t="s">
        <v>2049</v>
      </c>
    </row>
    <row r="472" spans="7:11">
      <c r="G472" s="241" t="s">
        <v>2050</v>
      </c>
      <c r="H472" s="236" t="s">
        <v>2051</v>
      </c>
      <c r="J472" s="238" t="s">
        <v>2052</v>
      </c>
      <c r="K472" s="236" t="s">
        <v>58</v>
      </c>
    </row>
    <row r="473" spans="7:11">
      <c r="G473" s="241" t="s">
        <v>2053</v>
      </c>
      <c r="H473" s="236" t="s">
        <v>2054</v>
      </c>
      <c r="J473" s="238" t="s">
        <v>2055</v>
      </c>
      <c r="K473" s="236" t="s">
        <v>64</v>
      </c>
    </row>
    <row r="474" spans="7:11">
      <c r="G474" s="241" t="s">
        <v>2056</v>
      </c>
      <c r="H474" s="236" t="s">
        <v>2057</v>
      </c>
      <c r="J474" s="238" t="s">
        <v>2058</v>
      </c>
      <c r="K474" s="236" t="s">
        <v>2059</v>
      </c>
    </row>
    <row r="475" spans="7:11">
      <c r="G475" s="241" t="s">
        <v>2060</v>
      </c>
      <c r="H475" s="236" t="s">
        <v>2061</v>
      </c>
      <c r="J475" s="238" t="s">
        <v>2062</v>
      </c>
      <c r="K475" s="236" t="s">
        <v>2063</v>
      </c>
    </row>
    <row r="476" spans="7:11">
      <c r="G476" s="241" t="s">
        <v>2064</v>
      </c>
      <c r="H476" s="236" t="s">
        <v>2065</v>
      </c>
      <c r="J476" s="238" t="s">
        <v>2066</v>
      </c>
      <c r="K476" s="236" t="s">
        <v>2067</v>
      </c>
    </row>
    <row r="477" spans="7:11">
      <c r="G477" s="241" t="s">
        <v>2068</v>
      </c>
      <c r="H477" s="236" t="s">
        <v>2069</v>
      </c>
      <c r="J477" s="238" t="s">
        <v>2070</v>
      </c>
      <c r="K477" s="236" t="s">
        <v>800</v>
      </c>
    </row>
    <row r="478" spans="7:11">
      <c r="G478" s="241" t="s">
        <v>2071</v>
      </c>
      <c r="H478" s="236" t="s">
        <v>2072</v>
      </c>
      <c r="J478" s="238" t="s">
        <v>2073</v>
      </c>
      <c r="K478" s="236" t="s">
        <v>2074</v>
      </c>
    </row>
    <row r="479" spans="7:11">
      <c r="G479" s="241" t="s">
        <v>2075</v>
      </c>
      <c r="H479" s="236" t="s">
        <v>2076</v>
      </c>
      <c r="J479" s="238" t="s">
        <v>2077</v>
      </c>
      <c r="K479" s="236" t="s">
        <v>2078</v>
      </c>
    </row>
    <row r="480" spans="7:11">
      <c r="G480" s="241" t="s">
        <v>2079</v>
      </c>
      <c r="H480" s="236" t="s">
        <v>2080</v>
      </c>
      <c r="J480" s="238" t="s">
        <v>2081</v>
      </c>
      <c r="K480" s="236" t="s">
        <v>2082</v>
      </c>
    </row>
    <row r="481" spans="7:11">
      <c r="G481" s="241" t="s">
        <v>2083</v>
      </c>
      <c r="H481" s="236" t="s">
        <v>2084</v>
      </c>
      <c r="J481" s="238" t="s">
        <v>2085</v>
      </c>
      <c r="K481" s="236" t="s">
        <v>2086</v>
      </c>
    </row>
    <row r="482" spans="7:11">
      <c r="G482" s="241" t="s">
        <v>2087</v>
      </c>
      <c r="H482" s="236" t="s">
        <v>2088</v>
      </c>
      <c r="J482" s="238" t="s">
        <v>2089</v>
      </c>
      <c r="K482" s="236" t="s">
        <v>2090</v>
      </c>
    </row>
    <row r="483" spans="7:11">
      <c r="G483" s="241" t="s">
        <v>2091</v>
      </c>
      <c r="H483" s="236" t="s">
        <v>2092</v>
      </c>
      <c r="J483" s="238" t="s">
        <v>2093</v>
      </c>
      <c r="K483" s="236" t="s">
        <v>2094</v>
      </c>
    </row>
    <row r="484" spans="7:11">
      <c r="G484" s="241" t="s">
        <v>2095</v>
      </c>
      <c r="H484" s="236" t="s">
        <v>2096</v>
      </c>
      <c r="J484" s="238" t="s">
        <v>2097</v>
      </c>
      <c r="K484" s="236" t="s">
        <v>2098</v>
      </c>
    </row>
    <row r="485" spans="7:11">
      <c r="G485" s="241" t="s">
        <v>2099</v>
      </c>
      <c r="H485" s="236" t="s">
        <v>2100</v>
      </c>
      <c r="J485" s="238" t="s">
        <v>2101</v>
      </c>
      <c r="K485" s="236" t="s">
        <v>2102</v>
      </c>
    </row>
    <row r="486" spans="7:11">
      <c r="G486" s="241" t="s">
        <v>2103</v>
      </c>
      <c r="H486" s="236" t="s">
        <v>2104</v>
      </c>
      <c r="J486" s="238" t="s">
        <v>2105</v>
      </c>
      <c r="K486" s="236" t="s">
        <v>2106</v>
      </c>
    </row>
    <row r="487" spans="7:11">
      <c r="G487" s="241" t="s">
        <v>2107</v>
      </c>
      <c r="H487" s="236" t="s">
        <v>550</v>
      </c>
      <c r="J487" s="238" t="s">
        <v>2108</v>
      </c>
      <c r="K487" s="236" t="s">
        <v>2109</v>
      </c>
    </row>
    <row r="488" spans="7:11">
      <c r="G488" s="241" t="s">
        <v>2110</v>
      </c>
      <c r="H488" s="236" t="s">
        <v>2111</v>
      </c>
      <c r="J488" s="238" t="s">
        <v>2112</v>
      </c>
      <c r="K488" s="236" t="s">
        <v>2113</v>
      </c>
    </row>
    <row r="489" spans="7:11">
      <c r="G489" s="241" t="s">
        <v>2114</v>
      </c>
      <c r="H489" s="236" t="s">
        <v>2115</v>
      </c>
      <c r="J489" s="238" t="s">
        <v>2116</v>
      </c>
      <c r="K489" s="236" t="s">
        <v>2117</v>
      </c>
    </row>
    <row r="490" spans="7:11">
      <c r="G490" s="241" t="s">
        <v>2118</v>
      </c>
      <c r="H490" s="236" t="s">
        <v>2119</v>
      </c>
      <c r="J490" s="238" t="s">
        <v>2120</v>
      </c>
      <c r="K490" s="236" t="s">
        <v>2121</v>
      </c>
    </row>
    <row r="491" spans="7:11">
      <c r="G491" s="241" t="s">
        <v>2122</v>
      </c>
      <c r="H491" s="236" t="s">
        <v>2123</v>
      </c>
      <c r="J491" s="238" t="s">
        <v>2124</v>
      </c>
      <c r="K491" s="236" t="s">
        <v>2125</v>
      </c>
    </row>
    <row r="492" spans="7:11">
      <c r="G492" s="241" t="s">
        <v>2126</v>
      </c>
      <c r="H492" s="236" t="s">
        <v>2127</v>
      </c>
      <c r="J492" s="238" t="s">
        <v>2128</v>
      </c>
      <c r="K492" s="236" t="s">
        <v>2129</v>
      </c>
    </row>
    <row r="493" spans="7:11">
      <c r="G493" s="241" t="s">
        <v>2130</v>
      </c>
      <c r="H493" s="236" t="s">
        <v>2131</v>
      </c>
      <c r="J493" s="238" t="s">
        <v>2132</v>
      </c>
      <c r="K493" s="236" t="s">
        <v>2133</v>
      </c>
    </row>
    <row r="494" spans="7:11">
      <c r="G494" s="241" t="s">
        <v>2134</v>
      </c>
      <c r="H494" s="236" t="s">
        <v>2135</v>
      </c>
      <c r="J494" s="238" t="s">
        <v>2136</v>
      </c>
      <c r="K494" s="236" t="s">
        <v>2137</v>
      </c>
    </row>
    <row r="495" spans="7:11">
      <c r="G495" s="241" t="s">
        <v>2138</v>
      </c>
      <c r="H495" s="236" t="s">
        <v>2139</v>
      </c>
      <c r="J495" s="238" t="s">
        <v>2140</v>
      </c>
      <c r="K495" s="236" t="s">
        <v>2141</v>
      </c>
    </row>
    <row r="496" spans="7:11">
      <c r="G496" s="241" t="s">
        <v>2142</v>
      </c>
      <c r="H496" s="236" t="s">
        <v>2143</v>
      </c>
      <c r="J496" s="238" t="s">
        <v>2144</v>
      </c>
      <c r="K496" s="236" t="s">
        <v>2145</v>
      </c>
    </row>
    <row r="497" spans="7:11">
      <c r="G497" s="241" t="s">
        <v>2146</v>
      </c>
      <c r="H497" s="236" t="s">
        <v>566</v>
      </c>
      <c r="J497" s="238" t="s">
        <v>2147</v>
      </c>
      <c r="K497" s="236" t="s">
        <v>2148</v>
      </c>
    </row>
    <row r="498" spans="7:11">
      <c r="G498" s="241" t="s">
        <v>2149</v>
      </c>
      <c r="H498" s="236" t="s">
        <v>2150</v>
      </c>
      <c r="J498" s="238" t="s">
        <v>2151</v>
      </c>
      <c r="K498" s="236" t="s">
        <v>58</v>
      </c>
    </row>
    <row r="499" spans="7:11">
      <c r="G499" s="241" t="s">
        <v>2152</v>
      </c>
      <c r="H499" s="236" t="s">
        <v>2153</v>
      </c>
      <c r="J499" s="238" t="s">
        <v>2154</v>
      </c>
      <c r="K499" s="236" t="s">
        <v>64</v>
      </c>
    </row>
    <row r="500" spans="7:11">
      <c r="G500" s="241" t="s">
        <v>2155</v>
      </c>
      <c r="H500" s="236" t="s">
        <v>2156</v>
      </c>
      <c r="J500" s="238" t="s">
        <v>2157</v>
      </c>
      <c r="K500" s="236" t="s">
        <v>2158</v>
      </c>
    </row>
    <row r="501" spans="7:11">
      <c r="G501" s="241" t="s">
        <v>2159</v>
      </c>
      <c r="H501" s="236" t="s">
        <v>2160</v>
      </c>
      <c r="J501" s="238" t="s">
        <v>2161</v>
      </c>
      <c r="K501" s="236" t="s">
        <v>2162</v>
      </c>
    </row>
    <row r="502" spans="7:11">
      <c r="G502" s="241" t="s">
        <v>2163</v>
      </c>
      <c r="H502" s="236" t="s">
        <v>2164</v>
      </c>
      <c r="J502" s="238" t="s">
        <v>2165</v>
      </c>
      <c r="K502" s="236" t="s">
        <v>2166</v>
      </c>
    </row>
    <row r="503" spans="7:11">
      <c r="G503" s="241" t="s">
        <v>2167</v>
      </c>
      <c r="H503" s="236" t="s">
        <v>2168</v>
      </c>
      <c r="J503" s="238" t="s">
        <v>2169</v>
      </c>
      <c r="K503" s="236" t="s">
        <v>2170</v>
      </c>
    </row>
    <row r="504" spans="7:11">
      <c r="G504" s="241" t="s">
        <v>2171</v>
      </c>
      <c r="H504" s="236" t="s">
        <v>2172</v>
      </c>
      <c r="J504" s="238" t="s">
        <v>2173</v>
      </c>
      <c r="K504" s="236" t="s">
        <v>2174</v>
      </c>
    </row>
    <row r="505" spans="7:11">
      <c r="G505" s="241" t="s">
        <v>2175</v>
      </c>
      <c r="H505" s="236" t="s">
        <v>2176</v>
      </c>
      <c r="J505" s="238" t="s">
        <v>2177</v>
      </c>
      <c r="K505" s="236" t="s">
        <v>2178</v>
      </c>
    </row>
    <row r="506" spans="7:11">
      <c r="G506" s="241" t="s">
        <v>2179</v>
      </c>
      <c r="H506" s="236" t="s">
        <v>2180</v>
      </c>
      <c r="J506" s="238" t="s">
        <v>2181</v>
      </c>
      <c r="K506" s="236" t="s">
        <v>2182</v>
      </c>
    </row>
    <row r="507" spans="7:11">
      <c r="G507" s="241" t="s">
        <v>2183</v>
      </c>
      <c r="H507" s="236" t="s">
        <v>2184</v>
      </c>
      <c r="J507" s="238" t="s">
        <v>2185</v>
      </c>
      <c r="K507" s="236" t="s">
        <v>2186</v>
      </c>
    </row>
    <row r="508" spans="7:11">
      <c r="G508" s="241" t="s">
        <v>2187</v>
      </c>
      <c r="H508" s="236" t="s">
        <v>2188</v>
      </c>
      <c r="J508" s="238" t="s">
        <v>2189</v>
      </c>
      <c r="K508" s="236" t="s">
        <v>2190</v>
      </c>
    </row>
    <row r="509" spans="7:11">
      <c r="G509" s="241" t="s">
        <v>2191</v>
      </c>
      <c r="H509" s="236" t="s">
        <v>2192</v>
      </c>
      <c r="J509" s="238" t="s">
        <v>2193</v>
      </c>
      <c r="K509" s="236" t="s">
        <v>2194</v>
      </c>
    </row>
    <row r="510" spans="7:11">
      <c r="G510" s="241" t="s">
        <v>2195</v>
      </c>
      <c r="H510" s="236" t="s">
        <v>2196</v>
      </c>
      <c r="J510" s="238" t="s">
        <v>2197</v>
      </c>
      <c r="K510" s="236" t="s">
        <v>2198</v>
      </c>
    </row>
    <row r="511" spans="7:11">
      <c r="G511" s="241" t="s">
        <v>2199</v>
      </c>
      <c r="H511" s="236" t="s">
        <v>2200</v>
      </c>
      <c r="J511" s="238" t="s">
        <v>2201</v>
      </c>
      <c r="K511" s="236" t="s">
        <v>2202</v>
      </c>
    </row>
    <row r="512" spans="7:11">
      <c r="G512" s="241" t="s">
        <v>2203</v>
      </c>
      <c r="H512" s="236" t="s">
        <v>2204</v>
      </c>
      <c r="J512" s="238" t="s">
        <v>2205</v>
      </c>
      <c r="K512" s="236" t="s">
        <v>2206</v>
      </c>
    </row>
    <row r="513" spans="7:11">
      <c r="G513" s="241" t="s">
        <v>2207</v>
      </c>
      <c r="H513" s="236" t="s">
        <v>2208</v>
      </c>
      <c r="J513" s="238" t="s">
        <v>2209</v>
      </c>
      <c r="K513" s="236" t="s">
        <v>2210</v>
      </c>
    </row>
    <row r="514" spans="7:11">
      <c r="G514" s="241" t="s">
        <v>2211</v>
      </c>
      <c r="H514" s="236" t="s">
        <v>2212</v>
      </c>
      <c r="J514" s="238" t="s">
        <v>2213</v>
      </c>
      <c r="K514" s="236" t="s">
        <v>2214</v>
      </c>
    </row>
    <row r="515" spans="7:11">
      <c r="G515" s="241" t="s">
        <v>2215</v>
      </c>
      <c r="H515" s="236" t="s">
        <v>2216</v>
      </c>
      <c r="J515" s="238" t="s">
        <v>2217</v>
      </c>
      <c r="K515" s="236" t="s">
        <v>2218</v>
      </c>
    </row>
    <row r="516" spans="7:11">
      <c r="G516" s="241" t="s">
        <v>2219</v>
      </c>
      <c r="H516" s="236" t="s">
        <v>2220</v>
      </c>
      <c r="J516" s="238" t="s">
        <v>2221</v>
      </c>
      <c r="K516" s="236" t="s">
        <v>2222</v>
      </c>
    </row>
    <row r="517" spans="7:11">
      <c r="G517" s="241" t="s">
        <v>2223</v>
      </c>
      <c r="H517" s="236" t="s">
        <v>2224</v>
      </c>
      <c r="J517" s="238" t="s">
        <v>2225</v>
      </c>
      <c r="K517" s="236" t="s">
        <v>2226</v>
      </c>
    </row>
    <row r="518" spans="7:11">
      <c r="G518" s="241" t="s">
        <v>2227</v>
      </c>
      <c r="H518" s="236" t="s">
        <v>2228</v>
      </c>
      <c r="J518" s="238" t="s">
        <v>2229</v>
      </c>
      <c r="K518" s="236" t="s">
        <v>58</v>
      </c>
    </row>
    <row r="519" spans="7:11">
      <c r="G519" s="241" t="s">
        <v>2230</v>
      </c>
      <c r="H519" s="236" t="s">
        <v>2231</v>
      </c>
      <c r="J519" s="238" t="s">
        <v>2232</v>
      </c>
      <c r="K519" s="236" t="s">
        <v>64</v>
      </c>
    </row>
    <row r="520" spans="7:11">
      <c r="G520" s="241" t="s">
        <v>2233</v>
      </c>
      <c r="H520" s="236" t="s">
        <v>2234</v>
      </c>
      <c r="J520" s="238" t="s">
        <v>2235</v>
      </c>
      <c r="K520" s="236" t="s">
        <v>852</v>
      </c>
    </row>
    <row r="521" spans="7:11">
      <c r="G521" s="241" t="s">
        <v>2236</v>
      </c>
      <c r="H521" s="236" t="s">
        <v>2237</v>
      </c>
      <c r="J521" s="238" t="s">
        <v>2238</v>
      </c>
      <c r="K521" s="236" t="s">
        <v>2239</v>
      </c>
    </row>
    <row r="522" spans="7:11">
      <c r="G522" s="241" t="s">
        <v>2240</v>
      </c>
      <c r="H522" s="236" t="s">
        <v>2241</v>
      </c>
      <c r="J522" s="238" t="s">
        <v>2242</v>
      </c>
      <c r="K522" s="236" t="s">
        <v>2243</v>
      </c>
    </row>
    <row r="523" spans="7:11">
      <c r="G523" s="241" t="s">
        <v>2244</v>
      </c>
      <c r="H523" s="236" t="s">
        <v>2245</v>
      </c>
      <c r="J523" s="238" t="s">
        <v>2246</v>
      </c>
      <c r="K523" s="236" t="s">
        <v>2247</v>
      </c>
    </row>
    <row r="524" spans="7:11">
      <c r="G524" s="241" t="s">
        <v>2248</v>
      </c>
      <c r="H524" s="236" t="s">
        <v>2249</v>
      </c>
      <c r="J524" s="238" t="s">
        <v>2250</v>
      </c>
      <c r="K524" s="236" t="s">
        <v>2251</v>
      </c>
    </row>
    <row r="525" spans="7:11">
      <c r="G525" s="241" t="s">
        <v>2252</v>
      </c>
      <c r="H525" s="236" t="s">
        <v>2253</v>
      </c>
      <c r="J525" s="238" t="s">
        <v>2254</v>
      </c>
      <c r="K525" s="236" t="s">
        <v>2255</v>
      </c>
    </row>
    <row r="526" spans="7:11">
      <c r="G526" s="241" t="s">
        <v>2256</v>
      </c>
      <c r="H526" s="236" t="s">
        <v>2257</v>
      </c>
      <c r="J526" s="238" t="s">
        <v>2258</v>
      </c>
      <c r="K526" s="236" t="s">
        <v>2259</v>
      </c>
    </row>
    <row r="527" spans="7:11">
      <c r="G527" s="241" t="s">
        <v>2260</v>
      </c>
      <c r="H527" s="236" t="s">
        <v>2261</v>
      </c>
      <c r="J527" s="238" t="s">
        <v>2262</v>
      </c>
      <c r="K527" s="236" t="s">
        <v>2263</v>
      </c>
    </row>
    <row r="528" spans="7:11">
      <c r="G528" s="241" t="s">
        <v>2264</v>
      </c>
      <c r="H528" s="236" t="s">
        <v>2265</v>
      </c>
      <c r="J528" s="238" t="s">
        <v>2266</v>
      </c>
      <c r="K528" s="236" t="s">
        <v>2267</v>
      </c>
    </row>
    <row r="529" spans="7:11">
      <c r="G529" s="241" t="s">
        <v>2268</v>
      </c>
      <c r="H529" s="236" t="s">
        <v>2269</v>
      </c>
      <c r="J529" s="238" t="s">
        <v>2270</v>
      </c>
      <c r="K529" s="236" t="s">
        <v>2271</v>
      </c>
    </row>
    <row r="530" spans="7:11">
      <c r="G530" s="241" t="s">
        <v>2272</v>
      </c>
      <c r="H530" s="236" t="s">
        <v>2273</v>
      </c>
      <c r="J530" s="238" t="s">
        <v>2274</v>
      </c>
      <c r="K530" s="236" t="s">
        <v>2275</v>
      </c>
    </row>
    <row r="531" spans="7:11">
      <c r="G531" s="241" t="s">
        <v>2276</v>
      </c>
      <c r="H531" s="236" t="s">
        <v>619</v>
      </c>
      <c r="J531" s="238" t="s">
        <v>2277</v>
      </c>
      <c r="K531" s="236" t="s">
        <v>2278</v>
      </c>
    </row>
    <row r="532" spans="7:11">
      <c r="J532" s="238" t="s">
        <v>2279</v>
      </c>
      <c r="K532" s="236" t="s">
        <v>2280</v>
      </c>
    </row>
    <row r="533" spans="7:11">
      <c r="J533" s="238" t="s">
        <v>2281</v>
      </c>
      <c r="K533" s="236" t="s">
        <v>2282</v>
      </c>
    </row>
    <row r="534" spans="7:11">
      <c r="J534" s="238" t="s">
        <v>2283</v>
      </c>
      <c r="K534" s="236" t="s">
        <v>2284</v>
      </c>
    </row>
    <row r="535" spans="7:11">
      <c r="J535" s="238" t="s">
        <v>2285</v>
      </c>
      <c r="K535" s="236" t="s">
        <v>2286</v>
      </c>
    </row>
    <row r="536" spans="7:11">
      <c r="J536" s="238" t="s">
        <v>2287</v>
      </c>
      <c r="K536" s="236" t="s">
        <v>2288</v>
      </c>
    </row>
    <row r="537" spans="7:11">
      <c r="J537" s="238" t="s">
        <v>2289</v>
      </c>
      <c r="K537" s="236" t="s">
        <v>2290</v>
      </c>
    </row>
    <row r="538" spans="7:11">
      <c r="J538" s="238" t="s">
        <v>2291</v>
      </c>
      <c r="K538" s="236" t="s">
        <v>2292</v>
      </c>
    </row>
    <row r="539" spans="7:11">
      <c r="J539" s="238" t="s">
        <v>2293</v>
      </c>
      <c r="K539" s="236" t="s">
        <v>2294</v>
      </c>
    </row>
    <row r="540" spans="7:11">
      <c r="J540" s="238" t="s">
        <v>2295</v>
      </c>
      <c r="K540" s="236" t="s">
        <v>2296</v>
      </c>
    </row>
    <row r="541" spans="7:11">
      <c r="J541" s="238" t="s">
        <v>2297</v>
      </c>
      <c r="K541" s="236" t="s">
        <v>2298</v>
      </c>
    </row>
    <row r="542" spans="7:11">
      <c r="J542" s="238" t="s">
        <v>2299</v>
      </c>
      <c r="K542" s="236" t="s">
        <v>2300</v>
      </c>
    </row>
    <row r="543" spans="7:11">
      <c r="J543" s="238" t="s">
        <v>2301</v>
      </c>
      <c r="K543" s="236" t="s">
        <v>2302</v>
      </c>
    </row>
    <row r="544" spans="7:11">
      <c r="J544" s="238" t="s">
        <v>2303</v>
      </c>
      <c r="K544" s="236" t="s">
        <v>2304</v>
      </c>
    </row>
    <row r="545" spans="10:11">
      <c r="J545" s="238" t="s">
        <v>2305</v>
      </c>
      <c r="K545" s="236" t="s">
        <v>2306</v>
      </c>
    </row>
    <row r="546" spans="10:11">
      <c r="J546" s="238" t="s">
        <v>2307</v>
      </c>
      <c r="K546" s="236" t="s">
        <v>2308</v>
      </c>
    </row>
    <row r="547" spans="10:11">
      <c r="J547" s="238" t="s">
        <v>2309</v>
      </c>
      <c r="K547" s="236" t="s">
        <v>2310</v>
      </c>
    </row>
    <row r="548" spans="10:11">
      <c r="J548" s="238" t="s">
        <v>2311</v>
      </c>
      <c r="K548" s="236" t="s">
        <v>2312</v>
      </c>
    </row>
    <row r="549" spans="10:11">
      <c r="J549" s="238" t="s">
        <v>2313</v>
      </c>
      <c r="K549" s="236" t="s">
        <v>880</v>
      </c>
    </row>
    <row r="550" spans="10:11">
      <c r="J550" s="238" t="s">
        <v>2314</v>
      </c>
      <c r="K550" s="236" t="s">
        <v>2315</v>
      </c>
    </row>
    <row r="551" spans="10:11">
      <c r="J551" s="238" t="s">
        <v>2316</v>
      </c>
      <c r="K551" s="236" t="s">
        <v>2317</v>
      </c>
    </row>
    <row r="552" spans="10:11">
      <c r="J552" s="238" t="s">
        <v>2318</v>
      </c>
      <c r="K552" s="236" t="s">
        <v>2319</v>
      </c>
    </row>
    <row r="553" spans="10:11">
      <c r="J553" s="238" t="s">
        <v>2320</v>
      </c>
      <c r="K553" s="236" t="s">
        <v>58</v>
      </c>
    </row>
    <row r="554" spans="10:11">
      <c r="J554" s="238" t="s">
        <v>2321</v>
      </c>
      <c r="K554" s="236" t="s">
        <v>64</v>
      </c>
    </row>
    <row r="555" spans="10:11">
      <c r="J555" s="238" t="s">
        <v>2322</v>
      </c>
      <c r="K555" s="236" t="s">
        <v>2323</v>
      </c>
    </row>
    <row r="556" spans="10:11">
      <c r="J556" s="238" t="s">
        <v>2324</v>
      </c>
      <c r="K556" s="236" t="s">
        <v>2325</v>
      </c>
    </row>
    <row r="557" spans="10:11">
      <c r="J557" s="238" t="s">
        <v>2326</v>
      </c>
      <c r="K557" s="236" t="s">
        <v>2327</v>
      </c>
    </row>
    <row r="558" spans="10:11">
      <c r="J558" s="238" t="s">
        <v>2328</v>
      </c>
      <c r="K558" s="236" t="s">
        <v>2329</v>
      </c>
    </row>
    <row r="559" spans="10:11">
      <c r="J559" s="238" t="s">
        <v>2330</v>
      </c>
      <c r="K559" s="236" t="s">
        <v>2331</v>
      </c>
    </row>
    <row r="560" spans="10:11">
      <c r="J560" s="238" t="s">
        <v>2332</v>
      </c>
      <c r="K560" s="236" t="s">
        <v>2333</v>
      </c>
    </row>
    <row r="561" spans="10:11">
      <c r="J561" s="238" t="s">
        <v>2334</v>
      </c>
      <c r="K561" s="236" t="s">
        <v>2335</v>
      </c>
    </row>
    <row r="562" spans="10:11">
      <c r="J562" s="238" t="s">
        <v>2336</v>
      </c>
      <c r="K562" s="236" t="s">
        <v>2337</v>
      </c>
    </row>
    <row r="563" spans="10:11">
      <c r="J563" s="238" t="s">
        <v>2338</v>
      </c>
      <c r="K563" s="236" t="s">
        <v>2339</v>
      </c>
    </row>
    <row r="564" spans="10:11">
      <c r="J564" s="238" t="s">
        <v>2340</v>
      </c>
      <c r="K564" s="236" t="s">
        <v>2341</v>
      </c>
    </row>
    <row r="565" spans="10:11">
      <c r="J565" s="238" t="s">
        <v>2342</v>
      </c>
      <c r="K565" s="236" t="s">
        <v>2343</v>
      </c>
    </row>
    <row r="566" spans="10:11">
      <c r="J566" s="238" t="s">
        <v>2344</v>
      </c>
      <c r="K566" s="236" t="s">
        <v>2345</v>
      </c>
    </row>
    <row r="567" spans="10:11">
      <c r="J567" s="238" t="s">
        <v>2346</v>
      </c>
      <c r="K567" s="236" t="s">
        <v>2347</v>
      </c>
    </row>
    <row r="568" spans="10:11">
      <c r="J568" s="238" t="s">
        <v>2348</v>
      </c>
      <c r="K568" s="236" t="s">
        <v>2349</v>
      </c>
    </row>
    <row r="569" spans="10:11">
      <c r="J569" s="238" t="s">
        <v>2350</v>
      </c>
      <c r="K569" s="236" t="s">
        <v>2351</v>
      </c>
    </row>
    <row r="570" spans="10:11">
      <c r="J570" s="238" t="s">
        <v>2352</v>
      </c>
      <c r="K570" s="236" t="s">
        <v>2353</v>
      </c>
    </row>
    <row r="571" spans="10:11">
      <c r="J571" s="238" t="s">
        <v>2354</v>
      </c>
      <c r="K571" s="236" t="s">
        <v>2355</v>
      </c>
    </row>
    <row r="572" spans="10:11">
      <c r="J572" s="238" t="s">
        <v>2356</v>
      </c>
      <c r="K572" s="236" t="s">
        <v>2357</v>
      </c>
    </row>
    <row r="573" spans="10:11">
      <c r="J573" s="238" t="s">
        <v>2358</v>
      </c>
      <c r="K573" s="236" t="s">
        <v>2359</v>
      </c>
    </row>
    <row r="574" spans="10:11">
      <c r="J574" s="238" t="s">
        <v>2360</v>
      </c>
      <c r="K574" s="236" t="s">
        <v>58</v>
      </c>
    </row>
    <row r="575" spans="10:11">
      <c r="J575" s="238" t="s">
        <v>2361</v>
      </c>
      <c r="K575" s="236" t="s">
        <v>64</v>
      </c>
    </row>
    <row r="576" spans="10:11">
      <c r="J576" s="238" t="s">
        <v>2362</v>
      </c>
      <c r="K576" s="236" t="s">
        <v>912</v>
      </c>
    </row>
    <row r="577" spans="10:11">
      <c r="J577" s="238" t="s">
        <v>2363</v>
      </c>
      <c r="K577" s="236" t="s">
        <v>916</v>
      </c>
    </row>
    <row r="578" spans="10:11">
      <c r="J578" s="238" t="s">
        <v>2364</v>
      </c>
      <c r="K578" s="236" t="s">
        <v>2365</v>
      </c>
    </row>
    <row r="579" spans="10:11">
      <c r="J579" s="238" t="s">
        <v>2366</v>
      </c>
      <c r="K579" s="236" t="s">
        <v>2367</v>
      </c>
    </row>
    <row r="580" spans="10:11">
      <c r="J580" s="238" t="s">
        <v>2368</v>
      </c>
      <c r="K580" s="236" t="s">
        <v>2369</v>
      </c>
    </row>
    <row r="581" spans="10:11">
      <c r="J581" s="238" t="s">
        <v>2370</v>
      </c>
      <c r="K581" s="236" t="s">
        <v>2371</v>
      </c>
    </row>
    <row r="582" spans="10:11">
      <c r="J582" s="238" t="s">
        <v>2372</v>
      </c>
      <c r="K582" s="236" t="s">
        <v>2373</v>
      </c>
    </row>
    <row r="583" spans="10:11">
      <c r="J583" s="238" t="s">
        <v>2374</v>
      </c>
      <c r="K583" s="236" t="s">
        <v>2375</v>
      </c>
    </row>
    <row r="584" spans="10:11">
      <c r="J584" s="238" t="s">
        <v>2376</v>
      </c>
      <c r="K584" s="236" t="s">
        <v>2377</v>
      </c>
    </row>
    <row r="585" spans="10:11">
      <c r="J585" s="238" t="s">
        <v>2378</v>
      </c>
      <c r="K585" s="236" t="s">
        <v>2379</v>
      </c>
    </row>
    <row r="586" spans="10:11">
      <c r="J586" s="238" t="s">
        <v>2380</v>
      </c>
      <c r="K586" s="236" t="s">
        <v>2381</v>
      </c>
    </row>
    <row r="587" spans="10:11">
      <c r="J587" s="238" t="s">
        <v>2382</v>
      </c>
      <c r="K587" s="236" t="s">
        <v>2383</v>
      </c>
    </row>
    <row r="588" spans="10:11">
      <c r="J588" s="238" t="s">
        <v>2384</v>
      </c>
      <c r="K588" s="236" t="s">
        <v>2385</v>
      </c>
    </row>
    <row r="589" spans="10:11">
      <c r="J589" s="238" t="s">
        <v>2386</v>
      </c>
      <c r="K589" s="236" t="s">
        <v>2387</v>
      </c>
    </row>
    <row r="590" spans="10:11">
      <c r="J590" s="238" t="s">
        <v>2388</v>
      </c>
      <c r="K590" s="236" t="s">
        <v>2389</v>
      </c>
    </row>
    <row r="591" spans="10:11">
      <c r="J591" s="238" t="s">
        <v>2390</v>
      </c>
      <c r="K591" s="236" t="s">
        <v>2391</v>
      </c>
    </row>
    <row r="592" spans="10:11">
      <c r="J592" s="238" t="s">
        <v>2392</v>
      </c>
      <c r="K592" s="236" t="s">
        <v>2393</v>
      </c>
    </row>
    <row r="593" spans="10:11">
      <c r="J593" s="238" t="s">
        <v>2394</v>
      </c>
      <c r="K593" s="236" t="s">
        <v>2395</v>
      </c>
    </row>
    <row r="594" spans="10:11">
      <c r="J594" s="238" t="s">
        <v>2396</v>
      </c>
      <c r="K594" s="236" t="s">
        <v>2397</v>
      </c>
    </row>
    <row r="595" spans="10:11">
      <c r="J595" s="238" t="s">
        <v>2398</v>
      </c>
      <c r="K595" s="236" t="s">
        <v>2399</v>
      </c>
    </row>
    <row r="596" spans="10:11">
      <c r="J596" s="238" t="s">
        <v>2400</v>
      </c>
      <c r="K596" s="236" t="s">
        <v>2401</v>
      </c>
    </row>
    <row r="597" spans="10:11">
      <c r="J597" s="238" t="s">
        <v>2402</v>
      </c>
      <c r="K597" s="236" t="s">
        <v>2403</v>
      </c>
    </row>
    <row r="598" spans="10:11">
      <c r="J598" s="238" t="s">
        <v>2404</v>
      </c>
      <c r="K598" s="236" t="s">
        <v>2405</v>
      </c>
    </row>
    <row r="599" spans="10:11">
      <c r="J599" s="238" t="s">
        <v>2406</v>
      </c>
      <c r="K599" s="236" t="s">
        <v>2407</v>
      </c>
    </row>
    <row r="600" spans="10:11">
      <c r="J600" s="238" t="s">
        <v>2408</v>
      </c>
      <c r="K600" s="236" t="s">
        <v>2409</v>
      </c>
    </row>
    <row r="601" spans="10:11">
      <c r="J601" s="238" t="s">
        <v>2410</v>
      </c>
      <c r="K601" s="236" t="s">
        <v>2411</v>
      </c>
    </row>
    <row r="602" spans="10:11">
      <c r="J602" s="238" t="s">
        <v>2412</v>
      </c>
      <c r="K602" s="236" t="s">
        <v>58</v>
      </c>
    </row>
    <row r="603" spans="10:11">
      <c r="J603" s="238" t="s">
        <v>2413</v>
      </c>
      <c r="K603" s="236" t="s">
        <v>64</v>
      </c>
    </row>
    <row r="604" spans="10:11">
      <c r="J604" s="238" t="s">
        <v>2414</v>
      </c>
      <c r="K604" s="236" t="s">
        <v>2415</v>
      </c>
    </row>
    <row r="605" spans="10:11">
      <c r="J605" s="238" t="s">
        <v>2416</v>
      </c>
      <c r="K605" s="236" t="s">
        <v>2417</v>
      </c>
    </row>
    <row r="606" spans="10:11">
      <c r="J606" s="238" t="s">
        <v>2418</v>
      </c>
      <c r="K606" s="236" t="s">
        <v>2419</v>
      </c>
    </row>
    <row r="607" spans="10:11">
      <c r="J607" s="238" t="s">
        <v>2420</v>
      </c>
      <c r="K607" s="236" t="s">
        <v>2421</v>
      </c>
    </row>
    <row r="608" spans="10:11">
      <c r="J608" s="238" t="s">
        <v>2422</v>
      </c>
      <c r="K608" s="236" t="s">
        <v>2423</v>
      </c>
    </row>
    <row r="609" spans="10:11">
      <c r="J609" s="238" t="s">
        <v>2424</v>
      </c>
      <c r="K609" s="236" t="s">
        <v>2425</v>
      </c>
    </row>
    <row r="610" spans="10:11">
      <c r="J610" s="238" t="s">
        <v>2426</v>
      </c>
      <c r="K610" s="236" t="s">
        <v>2427</v>
      </c>
    </row>
    <row r="611" spans="10:11">
      <c r="J611" s="238" t="s">
        <v>2428</v>
      </c>
      <c r="K611" s="236" t="s">
        <v>2429</v>
      </c>
    </row>
    <row r="612" spans="10:11">
      <c r="J612" s="238" t="s">
        <v>2430</v>
      </c>
      <c r="K612" s="236" t="s">
        <v>2431</v>
      </c>
    </row>
    <row r="613" spans="10:11">
      <c r="J613" s="238" t="s">
        <v>2432</v>
      </c>
      <c r="K613" s="236" t="s">
        <v>2433</v>
      </c>
    </row>
    <row r="614" spans="10:11">
      <c r="J614" s="238" t="s">
        <v>2434</v>
      </c>
      <c r="K614" s="236" t="s">
        <v>2435</v>
      </c>
    </row>
    <row r="615" spans="10:11">
      <c r="J615" s="238" t="s">
        <v>2436</v>
      </c>
      <c r="K615" s="236" t="s">
        <v>2437</v>
      </c>
    </row>
    <row r="616" spans="10:11">
      <c r="J616" s="238" t="s">
        <v>2438</v>
      </c>
      <c r="K616" s="236" t="s">
        <v>2439</v>
      </c>
    </row>
    <row r="617" spans="10:11">
      <c r="J617" s="238" t="s">
        <v>2440</v>
      </c>
      <c r="K617" s="236" t="s">
        <v>2441</v>
      </c>
    </row>
    <row r="618" spans="10:11">
      <c r="J618" s="238" t="s">
        <v>2442</v>
      </c>
      <c r="K618" s="236" t="s">
        <v>2443</v>
      </c>
    </row>
    <row r="619" spans="10:11">
      <c r="J619" s="238" t="s">
        <v>2444</v>
      </c>
      <c r="K619" s="236" t="s">
        <v>2445</v>
      </c>
    </row>
    <row r="620" spans="10:11">
      <c r="J620" s="238" t="s">
        <v>2446</v>
      </c>
      <c r="K620" s="236" t="s">
        <v>2447</v>
      </c>
    </row>
    <row r="621" spans="10:11">
      <c r="J621" s="238" t="s">
        <v>2448</v>
      </c>
      <c r="K621" s="236" t="s">
        <v>2449</v>
      </c>
    </row>
    <row r="622" spans="10:11">
      <c r="J622" s="238" t="s">
        <v>2450</v>
      </c>
      <c r="K622" s="236" t="s">
        <v>2451</v>
      </c>
    </row>
    <row r="623" spans="10:11">
      <c r="J623" s="238" t="s">
        <v>2452</v>
      </c>
      <c r="K623" s="236" t="s">
        <v>2453</v>
      </c>
    </row>
    <row r="624" spans="10:11">
      <c r="J624" s="238" t="s">
        <v>2454</v>
      </c>
      <c r="K624" s="236" t="s">
        <v>2455</v>
      </c>
    </row>
    <row r="625" spans="10:11">
      <c r="J625" s="238" t="s">
        <v>2456</v>
      </c>
      <c r="K625" s="236" t="s">
        <v>2457</v>
      </c>
    </row>
    <row r="626" spans="10:11">
      <c r="J626" s="238" t="s">
        <v>2458</v>
      </c>
      <c r="K626" s="236" t="s">
        <v>966</v>
      </c>
    </row>
    <row r="627" spans="10:11">
      <c r="J627" s="238" t="s">
        <v>2459</v>
      </c>
      <c r="K627" s="236" t="s">
        <v>58</v>
      </c>
    </row>
    <row r="628" spans="10:11">
      <c r="J628" s="238" t="s">
        <v>2460</v>
      </c>
      <c r="K628" s="236" t="s">
        <v>64</v>
      </c>
    </row>
    <row r="629" spans="10:11">
      <c r="J629" s="238" t="s">
        <v>2461</v>
      </c>
      <c r="K629" s="236" t="s">
        <v>2462</v>
      </c>
    </row>
    <row r="630" spans="10:11">
      <c r="J630" s="238" t="s">
        <v>2463</v>
      </c>
      <c r="K630" s="236" t="s">
        <v>2464</v>
      </c>
    </row>
    <row r="631" spans="10:11">
      <c r="J631" s="238" t="s">
        <v>2465</v>
      </c>
      <c r="K631" s="236" t="s">
        <v>2466</v>
      </c>
    </row>
    <row r="632" spans="10:11">
      <c r="J632" s="238" t="s">
        <v>2467</v>
      </c>
      <c r="K632" s="236" t="s">
        <v>2468</v>
      </c>
    </row>
    <row r="633" spans="10:11">
      <c r="J633" s="238" t="s">
        <v>2469</v>
      </c>
      <c r="K633" s="236" t="s">
        <v>2470</v>
      </c>
    </row>
    <row r="634" spans="10:11">
      <c r="J634" s="238" t="s">
        <v>2471</v>
      </c>
      <c r="K634" s="236" t="s">
        <v>2472</v>
      </c>
    </row>
    <row r="635" spans="10:11">
      <c r="J635" s="238" t="s">
        <v>2473</v>
      </c>
      <c r="K635" s="236" t="s">
        <v>2474</v>
      </c>
    </row>
    <row r="636" spans="10:11">
      <c r="J636" s="238" t="s">
        <v>2475</v>
      </c>
      <c r="K636" s="236" t="s">
        <v>2476</v>
      </c>
    </row>
    <row r="637" spans="10:11">
      <c r="J637" s="238" t="s">
        <v>2477</v>
      </c>
      <c r="K637" s="236" t="s">
        <v>2478</v>
      </c>
    </row>
    <row r="638" spans="10:11">
      <c r="J638" s="238" t="s">
        <v>2479</v>
      </c>
      <c r="K638" s="236" t="s">
        <v>2480</v>
      </c>
    </row>
    <row r="639" spans="10:11">
      <c r="J639" s="238" t="s">
        <v>2481</v>
      </c>
      <c r="K639" s="236" t="s">
        <v>2482</v>
      </c>
    </row>
    <row r="640" spans="10:11">
      <c r="J640" s="238" t="s">
        <v>2483</v>
      </c>
      <c r="K640" s="236" t="s">
        <v>2484</v>
      </c>
    </row>
    <row r="641" spans="10:11">
      <c r="J641" s="238" t="s">
        <v>2485</v>
      </c>
      <c r="K641" s="236" t="s">
        <v>2486</v>
      </c>
    </row>
    <row r="642" spans="10:11">
      <c r="J642" s="238" t="s">
        <v>2487</v>
      </c>
      <c r="K642" s="236" t="s">
        <v>2488</v>
      </c>
    </row>
    <row r="643" spans="10:11">
      <c r="J643" s="238" t="s">
        <v>2489</v>
      </c>
      <c r="K643" s="236" t="s">
        <v>993</v>
      </c>
    </row>
    <row r="644" spans="10:11">
      <c r="J644" s="238" t="s">
        <v>2490</v>
      </c>
      <c r="K644" s="236" t="s">
        <v>58</v>
      </c>
    </row>
    <row r="645" spans="10:11">
      <c r="J645" s="238" t="s">
        <v>2491</v>
      </c>
      <c r="K645" s="236" t="s">
        <v>64</v>
      </c>
    </row>
    <row r="646" spans="10:11">
      <c r="J646" s="238" t="s">
        <v>2492</v>
      </c>
      <c r="K646" s="236" t="s">
        <v>2493</v>
      </c>
    </row>
    <row r="647" spans="10:11">
      <c r="J647" s="238" t="s">
        <v>2494</v>
      </c>
      <c r="K647" s="236" t="s">
        <v>2495</v>
      </c>
    </row>
    <row r="648" spans="10:11">
      <c r="J648" s="238" t="s">
        <v>2496</v>
      </c>
      <c r="K648" s="236" t="s">
        <v>2497</v>
      </c>
    </row>
    <row r="649" spans="10:11">
      <c r="J649" s="238" t="s">
        <v>2498</v>
      </c>
      <c r="K649" s="236" t="s">
        <v>2499</v>
      </c>
    </row>
    <row r="650" spans="10:11">
      <c r="J650" s="238" t="s">
        <v>2500</v>
      </c>
      <c r="K650" s="236" t="s">
        <v>2501</v>
      </c>
    </row>
    <row r="651" spans="10:11">
      <c r="J651" s="238" t="s">
        <v>2502</v>
      </c>
      <c r="K651" s="236" t="s">
        <v>2503</v>
      </c>
    </row>
    <row r="652" spans="10:11">
      <c r="J652" s="238" t="s">
        <v>2504</v>
      </c>
      <c r="K652" s="236" t="s">
        <v>2505</v>
      </c>
    </row>
    <row r="653" spans="10:11">
      <c r="J653" s="238" t="s">
        <v>2506</v>
      </c>
      <c r="K653" s="236" t="s">
        <v>2507</v>
      </c>
    </row>
    <row r="654" spans="10:11">
      <c r="J654" s="238" t="s">
        <v>2508</v>
      </c>
      <c r="K654" s="236" t="s">
        <v>2509</v>
      </c>
    </row>
    <row r="655" spans="10:11">
      <c r="J655" s="238" t="s">
        <v>2510</v>
      </c>
      <c r="K655" s="236" t="s">
        <v>2511</v>
      </c>
    </row>
    <row r="656" spans="10:11">
      <c r="J656" s="238" t="s">
        <v>2512</v>
      </c>
      <c r="K656" s="236" t="s">
        <v>2513</v>
      </c>
    </row>
    <row r="657" spans="10:11">
      <c r="J657" s="238" t="s">
        <v>2514</v>
      </c>
      <c r="K657" s="236" t="s">
        <v>2515</v>
      </c>
    </row>
    <row r="658" spans="10:11">
      <c r="J658" s="238" t="s">
        <v>2516</v>
      </c>
      <c r="K658" s="236" t="s">
        <v>2517</v>
      </c>
    </row>
    <row r="659" spans="10:11">
      <c r="J659" s="238" t="s">
        <v>2518</v>
      </c>
      <c r="K659" s="236" t="s">
        <v>2519</v>
      </c>
    </row>
    <row r="660" spans="10:11">
      <c r="J660" s="238" t="s">
        <v>2520</v>
      </c>
      <c r="K660" s="236" t="s">
        <v>2521</v>
      </c>
    </row>
    <row r="661" spans="10:11">
      <c r="J661" s="238" t="s">
        <v>2522</v>
      </c>
      <c r="K661" s="236" t="s">
        <v>2523</v>
      </c>
    </row>
    <row r="662" spans="10:11">
      <c r="J662" s="238" t="s">
        <v>2524</v>
      </c>
      <c r="K662" s="236" t="s">
        <v>2525</v>
      </c>
    </row>
    <row r="663" spans="10:11">
      <c r="J663" s="238" t="s">
        <v>2526</v>
      </c>
      <c r="K663" s="236" t="s">
        <v>2527</v>
      </c>
    </row>
    <row r="664" spans="10:11">
      <c r="J664" s="238" t="s">
        <v>2528</v>
      </c>
      <c r="K664" s="236" t="s">
        <v>2529</v>
      </c>
    </row>
    <row r="665" spans="10:11">
      <c r="J665" s="238" t="s">
        <v>2530</v>
      </c>
      <c r="K665" s="236" t="s">
        <v>2531</v>
      </c>
    </row>
    <row r="666" spans="10:11">
      <c r="J666" s="238" t="s">
        <v>2532</v>
      </c>
      <c r="K666" s="236" t="s">
        <v>2533</v>
      </c>
    </row>
    <row r="667" spans="10:11">
      <c r="J667" s="238" t="s">
        <v>2534</v>
      </c>
      <c r="K667" s="236" t="s">
        <v>2535</v>
      </c>
    </row>
    <row r="668" spans="10:11">
      <c r="J668" s="238" t="s">
        <v>2536</v>
      </c>
      <c r="K668" s="236" t="s">
        <v>1026</v>
      </c>
    </row>
    <row r="669" spans="10:11">
      <c r="J669" s="238" t="s">
        <v>2537</v>
      </c>
      <c r="K669" s="236" t="s">
        <v>58</v>
      </c>
    </row>
    <row r="670" spans="10:11">
      <c r="J670" s="238" t="s">
        <v>2538</v>
      </c>
      <c r="K670" s="236" t="s">
        <v>64</v>
      </c>
    </row>
    <row r="671" spans="10:11">
      <c r="J671" s="238" t="s">
        <v>2539</v>
      </c>
      <c r="K671" s="236" t="s">
        <v>2540</v>
      </c>
    </row>
    <row r="672" spans="10:11">
      <c r="J672" s="238" t="s">
        <v>2541</v>
      </c>
      <c r="K672" s="236" t="s">
        <v>2542</v>
      </c>
    </row>
    <row r="673" spans="10:11">
      <c r="J673" s="238" t="s">
        <v>2543</v>
      </c>
      <c r="K673" s="236" t="s">
        <v>2544</v>
      </c>
    </row>
    <row r="674" spans="10:11">
      <c r="J674" s="238" t="s">
        <v>2545</v>
      </c>
      <c r="K674" s="236" t="s">
        <v>2546</v>
      </c>
    </row>
    <row r="675" spans="10:11">
      <c r="J675" s="238" t="s">
        <v>2547</v>
      </c>
      <c r="K675" s="236" t="s">
        <v>2548</v>
      </c>
    </row>
    <row r="676" spans="10:11">
      <c r="J676" s="238" t="s">
        <v>2549</v>
      </c>
      <c r="K676" s="236" t="s">
        <v>2550</v>
      </c>
    </row>
    <row r="677" spans="10:11">
      <c r="J677" s="238" t="s">
        <v>2551</v>
      </c>
      <c r="K677" s="236" t="s">
        <v>2552</v>
      </c>
    </row>
    <row r="678" spans="10:11">
      <c r="J678" s="238" t="s">
        <v>2553</v>
      </c>
      <c r="K678" s="236" t="s">
        <v>2554</v>
      </c>
    </row>
    <row r="679" spans="10:11">
      <c r="J679" s="238" t="s">
        <v>2555</v>
      </c>
      <c r="K679" s="236" t="s">
        <v>2556</v>
      </c>
    </row>
    <row r="680" spans="10:11">
      <c r="J680" s="238" t="s">
        <v>2557</v>
      </c>
      <c r="K680" s="236" t="s">
        <v>2558</v>
      </c>
    </row>
    <row r="681" spans="10:11">
      <c r="J681" s="238" t="s">
        <v>2559</v>
      </c>
      <c r="K681" s="236" t="s">
        <v>2560</v>
      </c>
    </row>
    <row r="682" spans="10:11">
      <c r="J682" s="238" t="s">
        <v>2561</v>
      </c>
      <c r="K682" s="236" t="s">
        <v>2562</v>
      </c>
    </row>
    <row r="683" spans="10:11">
      <c r="J683" s="238" t="s">
        <v>2563</v>
      </c>
      <c r="K683" s="236" t="s">
        <v>2564</v>
      </c>
    </row>
    <row r="684" spans="10:11">
      <c r="J684" s="238" t="s">
        <v>2565</v>
      </c>
      <c r="K684" s="236" t="s">
        <v>2566</v>
      </c>
    </row>
    <row r="685" spans="10:11">
      <c r="J685" s="238" t="s">
        <v>2567</v>
      </c>
      <c r="K685" s="236" t="s">
        <v>2568</v>
      </c>
    </row>
    <row r="686" spans="10:11">
      <c r="J686" s="238" t="s">
        <v>2569</v>
      </c>
      <c r="K686" s="236" t="s">
        <v>58</v>
      </c>
    </row>
    <row r="687" spans="10:11">
      <c r="J687" s="238" t="s">
        <v>2570</v>
      </c>
      <c r="K687" s="236" t="s">
        <v>64</v>
      </c>
    </row>
    <row r="688" spans="10:11">
      <c r="J688" s="238" t="s">
        <v>2571</v>
      </c>
      <c r="K688" s="236" t="s">
        <v>2572</v>
      </c>
    </row>
    <row r="689" spans="10:11">
      <c r="J689" s="238" t="s">
        <v>2573</v>
      </c>
      <c r="K689" s="236" t="s">
        <v>2574</v>
      </c>
    </row>
    <row r="690" spans="10:11">
      <c r="J690" s="238" t="s">
        <v>2575</v>
      </c>
      <c r="K690" s="236" t="s">
        <v>2576</v>
      </c>
    </row>
    <row r="691" spans="10:11">
      <c r="J691" s="238" t="s">
        <v>2577</v>
      </c>
      <c r="K691" s="236" t="s">
        <v>2578</v>
      </c>
    </row>
    <row r="692" spans="10:11">
      <c r="J692" s="238" t="s">
        <v>2579</v>
      </c>
      <c r="K692" s="236" t="s">
        <v>2580</v>
      </c>
    </row>
    <row r="693" spans="10:11">
      <c r="J693" s="238" t="s">
        <v>2581</v>
      </c>
      <c r="K693" s="236" t="s">
        <v>2582</v>
      </c>
    </row>
    <row r="694" spans="10:11">
      <c r="J694" s="238" t="s">
        <v>2583</v>
      </c>
      <c r="K694" s="236" t="s">
        <v>2584</v>
      </c>
    </row>
    <row r="695" spans="10:11">
      <c r="J695" s="238" t="s">
        <v>2585</v>
      </c>
      <c r="K695" s="236" t="s">
        <v>2586</v>
      </c>
    </row>
    <row r="696" spans="10:11">
      <c r="J696" s="238" t="s">
        <v>2587</v>
      </c>
      <c r="K696" s="236" t="s">
        <v>2588</v>
      </c>
    </row>
    <row r="697" spans="10:11">
      <c r="J697" s="238" t="s">
        <v>2589</v>
      </c>
      <c r="K697" s="236" t="s">
        <v>2590</v>
      </c>
    </row>
    <row r="698" spans="10:11">
      <c r="J698" s="238" t="s">
        <v>2591</v>
      </c>
      <c r="K698" s="236" t="s">
        <v>2592</v>
      </c>
    </row>
    <row r="699" spans="10:11">
      <c r="J699" s="238" t="s">
        <v>2593</v>
      </c>
      <c r="K699" s="236" t="s">
        <v>2594</v>
      </c>
    </row>
    <row r="700" spans="10:11">
      <c r="J700" s="238" t="s">
        <v>2595</v>
      </c>
      <c r="K700" s="236" t="s">
        <v>2596</v>
      </c>
    </row>
    <row r="701" spans="10:11">
      <c r="J701" s="238" t="s">
        <v>2597</v>
      </c>
      <c r="K701" s="236" t="s">
        <v>2598</v>
      </c>
    </row>
    <row r="702" spans="10:11">
      <c r="J702" s="238" t="s">
        <v>2599</v>
      </c>
      <c r="K702" s="236" t="s">
        <v>2600</v>
      </c>
    </row>
    <row r="703" spans="10:11">
      <c r="J703" s="238" t="s">
        <v>2601</v>
      </c>
      <c r="K703" s="236" t="s">
        <v>2602</v>
      </c>
    </row>
    <row r="704" spans="10:11">
      <c r="J704" s="238" t="s">
        <v>2603</v>
      </c>
      <c r="K704" s="236" t="s">
        <v>58</v>
      </c>
    </row>
    <row r="705" spans="10:11">
      <c r="J705" s="238" t="s">
        <v>2604</v>
      </c>
      <c r="K705" s="236" t="s">
        <v>64</v>
      </c>
    </row>
    <row r="706" spans="10:11">
      <c r="J706" s="238" t="s">
        <v>2605</v>
      </c>
      <c r="K706" s="236" t="s">
        <v>2606</v>
      </c>
    </row>
    <row r="707" spans="10:11">
      <c r="J707" s="238" t="s">
        <v>2607</v>
      </c>
      <c r="K707" s="236" t="s">
        <v>2608</v>
      </c>
    </row>
    <row r="708" spans="10:11">
      <c r="J708" s="238" t="s">
        <v>2609</v>
      </c>
      <c r="K708" s="236" t="s">
        <v>2610</v>
      </c>
    </row>
    <row r="709" spans="10:11">
      <c r="J709" s="238" t="s">
        <v>2611</v>
      </c>
      <c r="K709" s="236" t="s">
        <v>2612</v>
      </c>
    </row>
    <row r="710" spans="10:11">
      <c r="J710" s="238" t="s">
        <v>2613</v>
      </c>
      <c r="K710" s="236" t="s">
        <v>2614</v>
      </c>
    </row>
    <row r="711" spans="10:11">
      <c r="J711" s="238" t="s">
        <v>2615</v>
      </c>
      <c r="K711" s="236" t="s">
        <v>2616</v>
      </c>
    </row>
    <row r="712" spans="10:11">
      <c r="J712" s="238" t="s">
        <v>2617</v>
      </c>
      <c r="K712" s="236" t="s">
        <v>2618</v>
      </c>
    </row>
    <row r="713" spans="10:11">
      <c r="J713" s="238" t="s">
        <v>2619</v>
      </c>
      <c r="K713" s="236" t="s">
        <v>2620</v>
      </c>
    </row>
    <row r="714" spans="10:11">
      <c r="J714" s="238" t="s">
        <v>2621</v>
      </c>
      <c r="K714" s="236" t="s">
        <v>1086</v>
      </c>
    </row>
    <row r="715" spans="10:11">
      <c r="J715" s="238" t="s">
        <v>2622</v>
      </c>
      <c r="K715" s="236" t="s">
        <v>2623</v>
      </c>
    </row>
    <row r="716" spans="10:11">
      <c r="J716" s="238" t="s">
        <v>2624</v>
      </c>
      <c r="K716" s="236" t="s">
        <v>2625</v>
      </c>
    </row>
    <row r="717" spans="10:11">
      <c r="J717" s="238" t="s">
        <v>2626</v>
      </c>
      <c r="K717" s="236" t="s">
        <v>2627</v>
      </c>
    </row>
    <row r="718" spans="10:11">
      <c r="J718" s="238" t="s">
        <v>2628</v>
      </c>
      <c r="K718" s="236" t="s">
        <v>2629</v>
      </c>
    </row>
    <row r="719" spans="10:11">
      <c r="J719" s="238" t="s">
        <v>2630</v>
      </c>
      <c r="K719" s="236" t="s">
        <v>2631</v>
      </c>
    </row>
    <row r="720" spans="10:11">
      <c r="J720" s="238" t="s">
        <v>2632</v>
      </c>
      <c r="K720" s="236" t="s">
        <v>2633</v>
      </c>
    </row>
    <row r="721" spans="10:11">
      <c r="J721" s="238" t="s">
        <v>2634</v>
      </c>
      <c r="K721" s="236" t="s">
        <v>2635</v>
      </c>
    </row>
    <row r="722" spans="10:11">
      <c r="J722" s="238" t="s">
        <v>2636</v>
      </c>
      <c r="K722" s="236" t="s">
        <v>2637</v>
      </c>
    </row>
    <row r="723" spans="10:11">
      <c r="J723" s="238" t="s">
        <v>2638</v>
      </c>
      <c r="K723" s="236" t="s">
        <v>1102</v>
      </c>
    </row>
    <row r="724" spans="10:11">
      <c r="J724" s="238" t="s">
        <v>2639</v>
      </c>
      <c r="K724" s="236" t="s">
        <v>2640</v>
      </c>
    </row>
    <row r="725" spans="10:11">
      <c r="J725" s="238" t="s">
        <v>2641</v>
      </c>
      <c r="K725" s="236" t="s">
        <v>2642</v>
      </c>
    </row>
    <row r="726" spans="10:11">
      <c r="J726" s="238" t="s">
        <v>2643</v>
      </c>
      <c r="K726" s="236" t="s">
        <v>2644</v>
      </c>
    </row>
    <row r="727" spans="10:11">
      <c r="J727" s="238" t="s">
        <v>2645</v>
      </c>
      <c r="K727" s="236" t="s">
        <v>2646</v>
      </c>
    </row>
    <row r="728" spans="10:11">
      <c r="J728" s="238" t="s">
        <v>2647</v>
      </c>
      <c r="K728" s="236" t="s">
        <v>2648</v>
      </c>
    </row>
    <row r="729" spans="10:11">
      <c r="J729" s="238" t="s">
        <v>2649</v>
      </c>
      <c r="K729" s="236" t="s">
        <v>2650</v>
      </c>
    </row>
    <row r="730" spans="10:11">
      <c r="J730" s="238" t="s">
        <v>2651</v>
      </c>
      <c r="K730" s="236" t="s">
        <v>2652</v>
      </c>
    </row>
    <row r="731" spans="10:11">
      <c r="J731" s="238" t="s">
        <v>2653</v>
      </c>
      <c r="K731" s="236" t="s">
        <v>2654</v>
      </c>
    </row>
    <row r="732" spans="10:11">
      <c r="J732" s="238" t="s">
        <v>2655</v>
      </c>
      <c r="K732" s="236" t="s">
        <v>2656</v>
      </c>
    </row>
    <row r="733" spans="10:11">
      <c r="J733" s="238" t="s">
        <v>2657</v>
      </c>
      <c r="K733" s="236" t="s">
        <v>2658</v>
      </c>
    </row>
    <row r="734" spans="10:11">
      <c r="J734" s="238" t="s">
        <v>2659</v>
      </c>
      <c r="K734" s="236" t="s">
        <v>2660</v>
      </c>
    </row>
    <row r="735" spans="10:11">
      <c r="J735" s="238" t="s">
        <v>2661</v>
      </c>
      <c r="K735" s="236" t="s">
        <v>2662</v>
      </c>
    </row>
    <row r="736" spans="10:11">
      <c r="J736" s="238" t="s">
        <v>2663</v>
      </c>
      <c r="K736" s="236" t="s">
        <v>2664</v>
      </c>
    </row>
    <row r="737" spans="10:11">
      <c r="J737" s="238" t="s">
        <v>2665</v>
      </c>
      <c r="K737" s="236" t="s">
        <v>2666</v>
      </c>
    </row>
    <row r="738" spans="10:11">
      <c r="J738" s="238" t="s">
        <v>2667</v>
      </c>
      <c r="K738" s="236" t="s">
        <v>58</v>
      </c>
    </row>
    <row r="739" spans="10:11">
      <c r="J739" s="238" t="s">
        <v>2668</v>
      </c>
      <c r="K739" s="236" t="s">
        <v>64</v>
      </c>
    </row>
    <row r="740" spans="10:11">
      <c r="J740" s="238" t="s">
        <v>2669</v>
      </c>
      <c r="K740" s="236" t="s">
        <v>2670</v>
      </c>
    </row>
    <row r="741" spans="10:11">
      <c r="J741" s="238" t="s">
        <v>2671</v>
      </c>
      <c r="K741" s="236" t="s">
        <v>2672</v>
      </c>
    </row>
    <row r="742" spans="10:11">
      <c r="J742" s="238" t="s">
        <v>2673</v>
      </c>
      <c r="K742" s="236" t="s">
        <v>58</v>
      </c>
    </row>
    <row r="743" spans="10:11">
      <c r="J743" s="238" t="s">
        <v>2674</v>
      </c>
      <c r="K743" s="236" t="s">
        <v>64</v>
      </c>
    </row>
    <row r="744" spans="10:11">
      <c r="J744" s="238" t="s">
        <v>2675</v>
      </c>
      <c r="K744" s="236" t="s">
        <v>2676</v>
      </c>
    </row>
    <row r="745" spans="10:11">
      <c r="J745" s="238" t="s">
        <v>2677</v>
      </c>
      <c r="K745" s="236" t="s">
        <v>2678</v>
      </c>
    </row>
    <row r="746" spans="10:11">
      <c r="J746" s="238" t="s">
        <v>2679</v>
      </c>
      <c r="K746" s="236" t="s">
        <v>58</v>
      </c>
    </row>
    <row r="747" spans="10:11">
      <c r="J747" s="238" t="s">
        <v>2680</v>
      </c>
      <c r="K747" s="236" t="s">
        <v>64</v>
      </c>
    </row>
    <row r="748" spans="10:11">
      <c r="J748" s="238" t="s">
        <v>2681</v>
      </c>
      <c r="K748" s="236" t="s">
        <v>251</v>
      </c>
    </row>
    <row r="749" spans="10:11">
      <c r="J749" s="238" t="s">
        <v>2682</v>
      </c>
      <c r="K749" s="236" t="s">
        <v>58</v>
      </c>
    </row>
    <row r="750" spans="10:11">
      <c r="J750" s="238" t="s">
        <v>2683</v>
      </c>
      <c r="K750" s="236" t="s">
        <v>64</v>
      </c>
    </row>
    <row r="751" spans="10:11">
      <c r="J751" s="238" t="s">
        <v>2684</v>
      </c>
      <c r="K751" s="236" t="s">
        <v>1139</v>
      </c>
    </row>
    <row r="752" spans="10:11">
      <c r="J752" s="238" t="s">
        <v>2685</v>
      </c>
      <c r="K752" s="236" t="s">
        <v>1143</v>
      </c>
    </row>
    <row r="753" spans="10:11">
      <c r="J753" s="238" t="s">
        <v>2686</v>
      </c>
      <c r="K753" s="236" t="s">
        <v>2687</v>
      </c>
    </row>
    <row r="754" spans="10:11">
      <c r="J754" s="238" t="s">
        <v>2688</v>
      </c>
      <c r="K754" s="236" t="s">
        <v>2689</v>
      </c>
    </row>
    <row r="755" spans="10:11">
      <c r="J755" s="238" t="s">
        <v>2690</v>
      </c>
      <c r="K755" s="236" t="s">
        <v>58</v>
      </c>
    </row>
    <row r="756" spans="10:11">
      <c r="J756" s="238" t="s">
        <v>2691</v>
      </c>
      <c r="K756" s="236" t="s">
        <v>64</v>
      </c>
    </row>
    <row r="757" spans="10:11">
      <c r="J757" s="238" t="s">
        <v>2692</v>
      </c>
      <c r="K757" s="236" t="s">
        <v>2693</v>
      </c>
    </row>
    <row r="758" spans="10:11">
      <c r="J758" s="238" t="s">
        <v>2694</v>
      </c>
      <c r="K758" s="236" t="s">
        <v>2695</v>
      </c>
    </row>
    <row r="759" spans="10:11">
      <c r="J759" s="238" t="s">
        <v>2696</v>
      </c>
      <c r="K759" s="236" t="s">
        <v>2697</v>
      </c>
    </row>
    <row r="760" spans="10:11">
      <c r="J760" s="238" t="s">
        <v>2698</v>
      </c>
      <c r="K760" s="236" t="s">
        <v>2699</v>
      </c>
    </row>
    <row r="761" spans="10:11">
      <c r="J761" s="238" t="s">
        <v>2700</v>
      </c>
      <c r="K761" s="236" t="s">
        <v>1159</v>
      </c>
    </row>
    <row r="762" spans="10:11">
      <c r="J762" s="238" t="s">
        <v>2701</v>
      </c>
      <c r="K762" s="236" t="s">
        <v>1163</v>
      </c>
    </row>
    <row r="763" spans="10:11">
      <c r="J763" s="238" t="s">
        <v>2702</v>
      </c>
      <c r="K763" s="236" t="s">
        <v>58</v>
      </c>
    </row>
    <row r="764" spans="10:11">
      <c r="J764" s="238" t="s">
        <v>2703</v>
      </c>
      <c r="K764" s="236" t="s">
        <v>64</v>
      </c>
    </row>
    <row r="765" spans="10:11">
      <c r="J765" s="238" t="s">
        <v>2704</v>
      </c>
      <c r="K765" s="236" t="s">
        <v>1171</v>
      </c>
    </row>
    <row r="766" spans="10:11">
      <c r="J766" s="238" t="s">
        <v>2705</v>
      </c>
      <c r="K766" s="236" t="s">
        <v>2706</v>
      </c>
    </row>
    <row r="767" spans="10:11">
      <c r="J767" s="238" t="s">
        <v>2707</v>
      </c>
      <c r="K767" s="236" t="s">
        <v>2708</v>
      </c>
    </row>
    <row r="768" spans="10:11">
      <c r="J768" s="238" t="s">
        <v>2709</v>
      </c>
      <c r="K768" s="236" t="s">
        <v>2710</v>
      </c>
    </row>
    <row r="769" spans="10:11">
      <c r="J769" s="238" t="s">
        <v>2711</v>
      </c>
      <c r="K769" s="236" t="s">
        <v>2712</v>
      </c>
    </row>
    <row r="770" spans="10:11">
      <c r="J770" s="238" t="s">
        <v>2713</v>
      </c>
      <c r="K770" s="236" t="s">
        <v>2714</v>
      </c>
    </row>
    <row r="771" spans="10:11">
      <c r="J771" s="238" t="s">
        <v>2715</v>
      </c>
      <c r="K771" s="236" t="s">
        <v>2716</v>
      </c>
    </row>
    <row r="772" spans="10:11">
      <c r="J772" s="238" t="s">
        <v>2717</v>
      </c>
      <c r="K772" s="236" t="s">
        <v>58</v>
      </c>
    </row>
    <row r="773" spans="10:11">
      <c r="J773" s="238" t="s">
        <v>2718</v>
      </c>
      <c r="K773" s="236" t="s">
        <v>64</v>
      </c>
    </row>
    <row r="774" spans="10:11">
      <c r="J774" s="238" t="s">
        <v>2719</v>
      </c>
      <c r="K774" s="236" t="s">
        <v>2720</v>
      </c>
    </row>
    <row r="775" spans="10:11">
      <c r="J775" s="238" t="s">
        <v>2721</v>
      </c>
      <c r="K775" s="236" t="s">
        <v>2722</v>
      </c>
    </row>
    <row r="776" spans="10:11">
      <c r="J776" s="238" t="s">
        <v>2723</v>
      </c>
      <c r="K776" s="236" t="s">
        <v>2724</v>
      </c>
    </row>
    <row r="777" spans="10:11">
      <c r="J777" s="238" t="s">
        <v>2725</v>
      </c>
      <c r="K777" s="236" t="s">
        <v>2726</v>
      </c>
    </row>
    <row r="778" spans="10:11">
      <c r="J778" s="238" t="s">
        <v>2727</v>
      </c>
      <c r="K778" s="236" t="s">
        <v>2728</v>
      </c>
    </row>
    <row r="779" spans="10:11">
      <c r="J779" s="238" t="s">
        <v>2729</v>
      </c>
      <c r="K779" s="236" t="s">
        <v>2730</v>
      </c>
    </row>
    <row r="780" spans="10:11">
      <c r="J780" s="238" t="s">
        <v>2731</v>
      </c>
      <c r="K780" s="236" t="s">
        <v>2732</v>
      </c>
    </row>
    <row r="781" spans="10:11">
      <c r="J781" s="238" t="s">
        <v>2733</v>
      </c>
      <c r="K781" s="236" t="s">
        <v>2734</v>
      </c>
    </row>
    <row r="782" spans="10:11">
      <c r="J782" s="238" t="s">
        <v>2735</v>
      </c>
      <c r="K782" s="236" t="s">
        <v>58</v>
      </c>
    </row>
    <row r="783" spans="10:11">
      <c r="J783" s="238" t="s">
        <v>2736</v>
      </c>
      <c r="K783" s="236" t="s">
        <v>64</v>
      </c>
    </row>
    <row r="784" spans="10:11">
      <c r="J784" s="238" t="s">
        <v>2737</v>
      </c>
      <c r="K784" s="236" t="s">
        <v>2738</v>
      </c>
    </row>
    <row r="785" spans="10:11">
      <c r="J785" s="238" t="s">
        <v>2739</v>
      </c>
      <c r="K785" s="236" t="s">
        <v>2740</v>
      </c>
    </row>
    <row r="786" spans="10:11">
      <c r="J786" s="238" t="s">
        <v>2741</v>
      </c>
      <c r="K786" s="236" t="s">
        <v>2742</v>
      </c>
    </row>
    <row r="787" spans="10:11">
      <c r="J787" s="238" t="s">
        <v>2743</v>
      </c>
      <c r="K787" s="236" t="s">
        <v>58</v>
      </c>
    </row>
    <row r="788" spans="10:11">
      <c r="J788" s="238" t="s">
        <v>2744</v>
      </c>
      <c r="K788" s="236" t="s">
        <v>64</v>
      </c>
    </row>
    <row r="789" spans="10:11">
      <c r="J789" s="238" t="s">
        <v>2745</v>
      </c>
      <c r="K789" s="236" t="s">
        <v>2746</v>
      </c>
    </row>
    <row r="790" spans="10:11">
      <c r="J790" s="238" t="s">
        <v>2747</v>
      </c>
      <c r="K790" s="236" t="s">
        <v>2748</v>
      </c>
    </row>
    <row r="791" spans="10:11">
      <c r="J791" s="238" t="s">
        <v>2749</v>
      </c>
      <c r="K791" s="236" t="s">
        <v>2750</v>
      </c>
    </row>
    <row r="792" spans="10:11">
      <c r="J792" s="238" t="s">
        <v>2751</v>
      </c>
      <c r="K792" s="236" t="s">
        <v>2752</v>
      </c>
    </row>
    <row r="793" spans="10:11">
      <c r="J793" s="238" t="s">
        <v>2753</v>
      </c>
      <c r="K793" s="236" t="s">
        <v>2754</v>
      </c>
    </row>
    <row r="794" spans="10:11">
      <c r="J794" s="238" t="s">
        <v>2755</v>
      </c>
      <c r="K794" s="236" t="s">
        <v>2756</v>
      </c>
    </row>
    <row r="795" spans="10:11">
      <c r="J795" s="238" t="s">
        <v>2757</v>
      </c>
      <c r="K795" s="236" t="s">
        <v>1214</v>
      </c>
    </row>
    <row r="796" spans="10:11">
      <c r="J796" s="238" t="s">
        <v>2758</v>
      </c>
      <c r="K796" s="236" t="s">
        <v>1218</v>
      </c>
    </row>
    <row r="797" spans="10:11">
      <c r="J797" s="238" t="s">
        <v>2759</v>
      </c>
      <c r="K797" s="236" t="s">
        <v>1222</v>
      </c>
    </row>
    <row r="798" spans="10:11">
      <c r="J798" s="238" t="s">
        <v>2760</v>
      </c>
      <c r="K798" s="236" t="s">
        <v>2761</v>
      </c>
    </row>
    <row r="799" spans="10:11">
      <c r="J799" s="238" t="s">
        <v>2762</v>
      </c>
      <c r="K799" s="236" t="s">
        <v>2763</v>
      </c>
    </row>
    <row r="800" spans="10:11">
      <c r="J800" s="238" t="s">
        <v>2764</v>
      </c>
      <c r="K800" s="236" t="s">
        <v>58</v>
      </c>
    </row>
    <row r="801" spans="10:11">
      <c r="J801" s="238" t="s">
        <v>2765</v>
      </c>
      <c r="K801" s="236" t="s">
        <v>64</v>
      </c>
    </row>
    <row r="802" spans="10:11">
      <c r="J802" s="238" t="s">
        <v>2766</v>
      </c>
      <c r="K802" s="236" t="s">
        <v>2767</v>
      </c>
    </row>
    <row r="803" spans="10:11">
      <c r="J803" s="238" t="s">
        <v>2768</v>
      </c>
      <c r="K803" s="236" t="s">
        <v>2769</v>
      </c>
    </row>
    <row r="804" spans="10:11">
      <c r="J804" s="238" t="s">
        <v>2770</v>
      </c>
      <c r="K804" s="236" t="s">
        <v>2771</v>
      </c>
    </row>
    <row r="805" spans="10:11">
      <c r="J805" s="238" t="s">
        <v>2772</v>
      </c>
      <c r="K805" s="236" t="s">
        <v>2773</v>
      </c>
    </row>
    <row r="806" spans="10:11">
      <c r="J806" s="238" t="s">
        <v>2774</v>
      </c>
      <c r="K806" s="236" t="s">
        <v>2775</v>
      </c>
    </row>
    <row r="807" spans="10:11">
      <c r="J807" s="238" t="s">
        <v>2776</v>
      </c>
      <c r="K807" s="236" t="s">
        <v>2777</v>
      </c>
    </row>
    <row r="808" spans="10:11">
      <c r="J808" s="238" t="s">
        <v>2778</v>
      </c>
      <c r="K808" s="236" t="s">
        <v>2779</v>
      </c>
    </row>
    <row r="809" spans="10:11">
      <c r="J809" s="238" t="s">
        <v>2780</v>
      </c>
      <c r="K809" s="236" t="s">
        <v>2781</v>
      </c>
    </row>
    <row r="810" spans="10:11">
      <c r="J810" s="238" t="s">
        <v>2782</v>
      </c>
      <c r="K810" s="236" t="s">
        <v>58</v>
      </c>
    </row>
    <row r="811" spans="10:11">
      <c r="J811" s="238" t="s">
        <v>2783</v>
      </c>
      <c r="K811" s="236" t="s">
        <v>64</v>
      </c>
    </row>
    <row r="812" spans="10:11">
      <c r="J812" s="238" t="s">
        <v>2784</v>
      </c>
      <c r="K812" s="236" t="s">
        <v>1241</v>
      </c>
    </row>
    <row r="813" spans="10:11">
      <c r="J813" s="238" t="s">
        <v>2785</v>
      </c>
      <c r="K813" s="236" t="s">
        <v>1245</v>
      </c>
    </row>
    <row r="814" spans="10:11">
      <c r="J814" s="238" t="s">
        <v>2786</v>
      </c>
      <c r="K814" s="236" t="s">
        <v>1249</v>
      </c>
    </row>
    <row r="815" spans="10:11">
      <c r="J815" s="238" t="s">
        <v>2787</v>
      </c>
      <c r="K815" s="236" t="s">
        <v>2788</v>
      </c>
    </row>
    <row r="816" spans="10:11">
      <c r="J816" s="238" t="s">
        <v>2789</v>
      </c>
      <c r="K816" s="236" t="s">
        <v>2790</v>
      </c>
    </row>
    <row r="817" spans="10:11">
      <c r="J817" s="238" t="s">
        <v>2791</v>
      </c>
      <c r="K817" s="236" t="s">
        <v>58</v>
      </c>
    </row>
    <row r="818" spans="10:11">
      <c r="J818" s="238" t="s">
        <v>2792</v>
      </c>
      <c r="K818" s="236" t="s">
        <v>64</v>
      </c>
    </row>
    <row r="819" spans="10:11">
      <c r="J819" s="238" t="s">
        <v>2793</v>
      </c>
      <c r="K819" s="236" t="s">
        <v>2794</v>
      </c>
    </row>
    <row r="820" spans="10:11">
      <c r="J820" s="238" t="s">
        <v>2795</v>
      </c>
      <c r="K820" s="236" t="s">
        <v>2796</v>
      </c>
    </row>
    <row r="821" spans="10:11">
      <c r="J821" s="238" t="s">
        <v>2797</v>
      </c>
      <c r="K821" s="236" t="s">
        <v>1265</v>
      </c>
    </row>
    <row r="822" spans="10:11">
      <c r="J822" s="238" t="s">
        <v>2798</v>
      </c>
      <c r="K822" s="236" t="s">
        <v>1269</v>
      </c>
    </row>
    <row r="823" spans="10:11">
      <c r="J823" s="238" t="s">
        <v>2799</v>
      </c>
      <c r="K823" s="236" t="s">
        <v>1273</v>
      </c>
    </row>
    <row r="824" spans="10:11">
      <c r="J824" s="238" t="s">
        <v>2800</v>
      </c>
      <c r="K824" s="236" t="s">
        <v>1276</v>
      </c>
    </row>
    <row r="825" spans="10:11">
      <c r="J825" s="238" t="s">
        <v>2801</v>
      </c>
      <c r="K825" s="236" t="s">
        <v>58</v>
      </c>
    </row>
    <row r="826" spans="10:11">
      <c r="J826" s="238" t="s">
        <v>2802</v>
      </c>
      <c r="K826" s="236" t="s">
        <v>64</v>
      </c>
    </row>
    <row r="827" spans="10:11">
      <c r="J827" s="238" t="s">
        <v>2803</v>
      </c>
      <c r="K827" s="236" t="s">
        <v>2804</v>
      </c>
    </row>
    <row r="828" spans="10:11">
      <c r="J828" s="238" t="s">
        <v>2805</v>
      </c>
      <c r="K828" s="236" t="s">
        <v>2806</v>
      </c>
    </row>
    <row r="829" spans="10:11">
      <c r="J829" s="238" t="s">
        <v>2807</v>
      </c>
      <c r="K829" s="236" t="s">
        <v>2808</v>
      </c>
    </row>
    <row r="830" spans="10:11">
      <c r="J830" s="238" t="s">
        <v>2809</v>
      </c>
      <c r="K830" s="236" t="s">
        <v>2810</v>
      </c>
    </row>
    <row r="831" spans="10:11">
      <c r="J831" s="238" t="s">
        <v>2811</v>
      </c>
      <c r="K831" s="236" t="s">
        <v>2812</v>
      </c>
    </row>
    <row r="832" spans="10:11">
      <c r="J832" s="238" t="s">
        <v>2813</v>
      </c>
      <c r="K832" s="236" t="s">
        <v>2814</v>
      </c>
    </row>
    <row r="833" spans="10:11">
      <c r="J833" s="238" t="s">
        <v>2815</v>
      </c>
      <c r="K833" s="236" t="s">
        <v>2816</v>
      </c>
    </row>
    <row r="834" spans="10:11">
      <c r="J834" s="238" t="s">
        <v>2817</v>
      </c>
      <c r="K834" s="236" t="s">
        <v>2818</v>
      </c>
    </row>
    <row r="835" spans="10:11">
      <c r="J835" s="238" t="s">
        <v>2819</v>
      </c>
      <c r="K835" s="236" t="s">
        <v>2820</v>
      </c>
    </row>
    <row r="836" spans="10:11">
      <c r="J836" s="238" t="s">
        <v>2821</v>
      </c>
      <c r="K836" s="236" t="s">
        <v>58</v>
      </c>
    </row>
    <row r="837" spans="10:11">
      <c r="J837" s="238" t="s">
        <v>2822</v>
      </c>
      <c r="K837" s="236" t="s">
        <v>64</v>
      </c>
    </row>
    <row r="838" spans="10:11">
      <c r="J838" s="238" t="s">
        <v>2823</v>
      </c>
      <c r="K838" s="236" t="s">
        <v>1303</v>
      </c>
    </row>
    <row r="839" spans="10:11">
      <c r="J839" s="238" t="s">
        <v>2824</v>
      </c>
      <c r="K839" s="236" t="s">
        <v>1307</v>
      </c>
    </row>
    <row r="840" spans="10:11">
      <c r="J840" s="238" t="s">
        <v>2825</v>
      </c>
      <c r="K840" s="236" t="s">
        <v>58</v>
      </c>
    </row>
    <row r="841" spans="10:11">
      <c r="J841" s="238" t="s">
        <v>2826</v>
      </c>
      <c r="K841" s="236" t="s">
        <v>64</v>
      </c>
    </row>
    <row r="842" spans="10:11">
      <c r="J842" s="238" t="s">
        <v>2827</v>
      </c>
      <c r="K842" s="236" t="s">
        <v>1315</v>
      </c>
    </row>
    <row r="843" spans="10:11">
      <c r="J843" s="238" t="s">
        <v>2828</v>
      </c>
      <c r="K843" s="236" t="s">
        <v>1319</v>
      </c>
    </row>
    <row r="844" spans="10:11">
      <c r="J844" s="238" t="s">
        <v>2829</v>
      </c>
      <c r="K844" s="236" t="s">
        <v>58</v>
      </c>
    </row>
    <row r="845" spans="10:11">
      <c r="J845" s="238" t="s">
        <v>2830</v>
      </c>
      <c r="K845" s="236" t="s">
        <v>64</v>
      </c>
    </row>
    <row r="846" spans="10:11">
      <c r="J846" s="238" t="s">
        <v>2831</v>
      </c>
      <c r="K846" s="236" t="s">
        <v>1327</v>
      </c>
    </row>
    <row r="847" spans="10:11">
      <c r="J847" s="238" t="s">
        <v>2832</v>
      </c>
      <c r="K847" s="236" t="s">
        <v>2833</v>
      </c>
    </row>
    <row r="848" spans="10:11">
      <c r="J848" s="238" t="s">
        <v>2834</v>
      </c>
      <c r="K848" s="236" t="s">
        <v>2835</v>
      </c>
    </row>
    <row r="849" spans="10:11">
      <c r="J849" s="238" t="s">
        <v>2836</v>
      </c>
      <c r="K849" s="236" t="s">
        <v>1335</v>
      </c>
    </row>
    <row r="850" spans="10:11">
      <c r="J850" s="238" t="s">
        <v>2837</v>
      </c>
      <c r="K850" s="236" t="s">
        <v>2838</v>
      </c>
    </row>
    <row r="851" spans="10:11">
      <c r="J851" s="238" t="s">
        <v>2839</v>
      </c>
      <c r="K851" s="236" t="s">
        <v>2840</v>
      </c>
    </row>
    <row r="852" spans="10:11">
      <c r="J852" s="238" t="s">
        <v>2841</v>
      </c>
      <c r="K852" s="236" t="s">
        <v>2842</v>
      </c>
    </row>
    <row r="853" spans="10:11">
      <c r="J853" s="238" t="s">
        <v>2843</v>
      </c>
      <c r="K853" s="236" t="s">
        <v>2844</v>
      </c>
    </row>
    <row r="854" spans="10:11">
      <c r="J854" s="238" t="s">
        <v>2845</v>
      </c>
      <c r="K854" s="236" t="s">
        <v>2846</v>
      </c>
    </row>
    <row r="855" spans="10:11">
      <c r="J855" s="238" t="s">
        <v>2847</v>
      </c>
      <c r="K855" s="236" t="s">
        <v>2848</v>
      </c>
    </row>
    <row r="856" spans="10:11">
      <c r="J856" s="238" t="s">
        <v>2849</v>
      </c>
      <c r="K856" s="236" t="s">
        <v>2850</v>
      </c>
    </row>
    <row r="857" spans="10:11">
      <c r="J857" s="238" t="s">
        <v>2851</v>
      </c>
      <c r="K857" s="236" t="s">
        <v>2852</v>
      </c>
    </row>
    <row r="858" spans="10:11">
      <c r="J858" s="238" t="s">
        <v>2853</v>
      </c>
      <c r="K858" s="236" t="s">
        <v>2854</v>
      </c>
    </row>
    <row r="859" spans="10:11">
      <c r="J859" s="238" t="s">
        <v>2855</v>
      </c>
      <c r="K859" s="236" t="s">
        <v>2856</v>
      </c>
    </row>
    <row r="860" spans="10:11">
      <c r="J860" s="238" t="s">
        <v>2857</v>
      </c>
      <c r="K860" s="236" t="s">
        <v>2858</v>
      </c>
    </row>
    <row r="861" spans="10:11">
      <c r="J861" s="238" t="s">
        <v>2859</v>
      </c>
      <c r="K861" s="236" t="s">
        <v>331</v>
      </c>
    </row>
    <row r="862" spans="10:11">
      <c r="J862" s="238" t="s">
        <v>2860</v>
      </c>
      <c r="K862" s="236" t="s">
        <v>58</v>
      </c>
    </row>
    <row r="863" spans="10:11">
      <c r="J863" s="238" t="s">
        <v>2861</v>
      </c>
      <c r="K863" s="236" t="s">
        <v>2862</v>
      </c>
    </row>
    <row r="864" spans="10:11">
      <c r="J864" s="238" t="s">
        <v>2863</v>
      </c>
      <c r="K864" s="236" t="s">
        <v>64</v>
      </c>
    </row>
    <row r="865" spans="10:11">
      <c r="J865" s="238" t="s">
        <v>2864</v>
      </c>
      <c r="K865" s="236" t="s">
        <v>2865</v>
      </c>
    </row>
    <row r="866" spans="10:11">
      <c r="J866" s="238" t="s">
        <v>2866</v>
      </c>
      <c r="K866" s="236" t="s">
        <v>2867</v>
      </c>
    </row>
    <row r="867" spans="10:11">
      <c r="J867" s="238" t="s">
        <v>2868</v>
      </c>
      <c r="K867" s="236" t="s">
        <v>58</v>
      </c>
    </row>
    <row r="868" spans="10:11">
      <c r="J868" s="238" t="s">
        <v>2869</v>
      </c>
      <c r="K868" s="236" t="s">
        <v>2862</v>
      </c>
    </row>
    <row r="869" spans="10:11">
      <c r="J869" s="238" t="s">
        <v>2870</v>
      </c>
      <c r="K869" s="236" t="s">
        <v>64</v>
      </c>
    </row>
    <row r="870" spans="10:11">
      <c r="J870" s="238" t="s">
        <v>2871</v>
      </c>
      <c r="K870" s="236" t="s">
        <v>2872</v>
      </c>
    </row>
    <row r="871" spans="10:11">
      <c r="J871" s="238" t="s">
        <v>2873</v>
      </c>
      <c r="K871" s="236" t="s">
        <v>2874</v>
      </c>
    </row>
    <row r="872" spans="10:11">
      <c r="J872" s="238" t="s">
        <v>2875</v>
      </c>
      <c r="K872" s="236" t="s">
        <v>2876</v>
      </c>
    </row>
    <row r="873" spans="10:11">
      <c r="J873" s="238" t="s">
        <v>2877</v>
      </c>
      <c r="K873" s="236" t="s">
        <v>2878</v>
      </c>
    </row>
    <row r="874" spans="10:11">
      <c r="J874" s="238" t="s">
        <v>2879</v>
      </c>
      <c r="K874" s="236" t="s">
        <v>2880</v>
      </c>
    </row>
    <row r="875" spans="10:11">
      <c r="J875" s="238" t="s">
        <v>2881</v>
      </c>
      <c r="K875" s="236" t="s">
        <v>2882</v>
      </c>
    </row>
    <row r="876" spans="10:11">
      <c r="J876" s="238" t="s">
        <v>2883</v>
      </c>
      <c r="K876" s="236" t="s">
        <v>2884</v>
      </c>
    </row>
    <row r="877" spans="10:11">
      <c r="J877" s="238" t="s">
        <v>2885</v>
      </c>
      <c r="K877" s="236" t="s">
        <v>2886</v>
      </c>
    </row>
    <row r="878" spans="10:11">
      <c r="J878" s="238" t="s">
        <v>2887</v>
      </c>
      <c r="K878" s="236" t="s">
        <v>2888</v>
      </c>
    </row>
    <row r="879" spans="10:11">
      <c r="J879" s="238" t="s">
        <v>2889</v>
      </c>
      <c r="K879" s="236" t="s">
        <v>2890</v>
      </c>
    </row>
    <row r="880" spans="10:11">
      <c r="J880" s="238" t="s">
        <v>2891</v>
      </c>
      <c r="K880" s="236" t="s">
        <v>2892</v>
      </c>
    </row>
    <row r="881" spans="10:11">
      <c r="J881" s="238" t="s">
        <v>2893</v>
      </c>
      <c r="K881" s="236" t="s">
        <v>58</v>
      </c>
    </row>
    <row r="882" spans="10:11">
      <c r="J882" s="238" t="s">
        <v>2894</v>
      </c>
      <c r="K882" s="236" t="s">
        <v>2862</v>
      </c>
    </row>
    <row r="883" spans="10:11">
      <c r="J883" s="238" t="s">
        <v>2895</v>
      </c>
      <c r="K883" s="236" t="s">
        <v>64</v>
      </c>
    </row>
    <row r="884" spans="10:11">
      <c r="J884" s="238" t="s">
        <v>2896</v>
      </c>
      <c r="K884" s="236" t="s">
        <v>2897</v>
      </c>
    </row>
    <row r="885" spans="10:11">
      <c r="J885" s="238" t="s">
        <v>2898</v>
      </c>
      <c r="K885" s="236" t="s">
        <v>2899</v>
      </c>
    </row>
    <row r="886" spans="10:11">
      <c r="J886" s="238" t="s">
        <v>2900</v>
      </c>
      <c r="K886" s="236" t="s">
        <v>2901</v>
      </c>
    </row>
    <row r="887" spans="10:11">
      <c r="J887" s="238" t="s">
        <v>2902</v>
      </c>
      <c r="K887" s="236" t="s">
        <v>2903</v>
      </c>
    </row>
    <row r="888" spans="10:11">
      <c r="J888" s="238" t="s">
        <v>2904</v>
      </c>
      <c r="K888" s="236" t="s">
        <v>2905</v>
      </c>
    </row>
    <row r="889" spans="10:11">
      <c r="J889" s="238" t="s">
        <v>2906</v>
      </c>
      <c r="K889" s="236" t="s">
        <v>2907</v>
      </c>
    </row>
    <row r="890" spans="10:11">
      <c r="J890" s="238" t="s">
        <v>2908</v>
      </c>
      <c r="K890" s="236" t="s">
        <v>2909</v>
      </c>
    </row>
    <row r="891" spans="10:11">
      <c r="J891" s="238" t="s">
        <v>2910</v>
      </c>
      <c r="K891" s="236" t="s">
        <v>2911</v>
      </c>
    </row>
    <row r="892" spans="10:11">
      <c r="J892" s="238" t="s">
        <v>2912</v>
      </c>
      <c r="K892" s="236" t="s">
        <v>2913</v>
      </c>
    </row>
    <row r="893" spans="10:11">
      <c r="J893" s="238" t="s">
        <v>2914</v>
      </c>
      <c r="K893" s="236" t="s">
        <v>2915</v>
      </c>
    </row>
    <row r="894" spans="10:11">
      <c r="J894" s="238" t="s">
        <v>2916</v>
      </c>
      <c r="K894" s="236" t="s">
        <v>2917</v>
      </c>
    </row>
    <row r="895" spans="10:11">
      <c r="J895" s="238" t="s">
        <v>2918</v>
      </c>
      <c r="K895" s="236" t="s">
        <v>2919</v>
      </c>
    </row>
    <row r="896" spans="10:11">
      <c r="J896" s="238" t="s">
        <v>2920</v>
      </c>
      <c r="K896" s="236" t="s">
        <v>2921</v>
      </c>
    </row>
    <row r="897" spans="10:11">
      <c r="J897" s="238" t="s">
        <v>2922</v>
      </c>
      <c r="K897" s="236" t="s">
        <v>2923</v>
      </c>
    </row>
    <row r="898" spans="10:11">
      <c r="J898" s="238" t="s">
        <v>2924</v>
      </c>
      <c r="K898" s="236" t="s">
        <v>2925</v>
      </c>
    </row>
    <row r="899" spans="10:11">
      <c r="J899" s="238" t="s">
        <v>2926</v>
      </c>
      <c r="K899" s="236" t="s">
        <v>58</v>
      </c>
    </row>
    <row r="900" spans="10:11">
      <c r="J900" s="238" t="s">
        <v>2927</v>
      </c>
      <c r="K900" s="236" t="s">
        <v>2862</v>
      </c>
    </row>
    <row r="901" spans="10:11">
      <c r="J901" s="238" t="s">
        <v>2928</v>
      </c>
      <c r="K901" s="236" t="s">
        <v>64</v>
      </c>
    </row>
    <row r="902" spans="10:11">
      <c r="J902" s="238" t="s">
        <v>2929</v>
      </c>
      <c r="K902" s="236" t="s">
        <v>2930</v>
      </c>
    </row>
    <row r="903" spans="10:11">
      <c r="J903" s="238" t="s">
        <v>2931</v>
      </c>
      <c r="K903" s="236" t="s">
        <v>2932</v>
      </c>
    </row>
    <row r="904" spans="10:11">
      <c r="J904" s="238" t="s">
        <v>2933</v>
      </c>
      <c r="K904" s="236" t="s">
        <v>2934</v>
      </c>
    </row>
    <row r="905" spans="10:11">
      <c r="J905" s="238" t="s">
        <v>2935</v>
      </c>
      <c r="K905" s="236" t="s">
        <v>2936</v>
      </c>
    </row>
    <row r="906" spans="10:11">
      <c r="J906" s="238" t="s">
        <v>2937</v>
      </c>
      <c r="K906" s="236" t="s">
        <v>2938</v>
      </c>
    </row>
    <row r="907" spans="10:11">
      <c r="J907" s="238" t="s">
        <v>2939</v>
      </c>
      <c r="K907" s="236" t="s">
        <v>2940</v>
      </c>
    </row>
    <row r="908" spans="10:11">
      <c r="J908" s="238" t="s">
        <v>2941</v>
      </c>
      <c r="K908" s="236" t="s">
        <v>2942</v>
      </c>
    </row>
    <row r="909" spans="10:11">
      <c r="J909" s="238" t="s">
        <v>2943</v>
      </c>
      <c r="K909" s="236" t="s">
        <v>2944</v>
      </c>
    </row>
    <row r="910" spans="10:11">
      <c r="J910" s="238" t="s">
        <v>2945</v>
      </c>
      <c r="K910" s="236" t="s">
        <v>2946</v>
      </c>
    </row>
    <row r="911" spans="10:11">
      <c r="J911" s="238" t="s">
        <v>2947</v>
      </c>
      <c r="K911" s="236" t="s">
        <v>2948</v>
      </c>
    </row>
    <row r="912" spans="10:11">
      <c r="J912" s="238" t="s">
        <v>2949</v>
      </c>
      <c r="K912" s="236" t="s">
        <v>2950</v>
      </c>
    </row>
    <row r="913" spans="10:11">
      <c r="J913" s="238" t="s">
        <v>2951</v>
      </c>
      <c r="K913" s="236" t="s">
        <v>2952</v>
      </c>
    </row>
    <row r="914" spans="10:11">
      <c r="J914" s="238" t="s">
        <v>2953</v>
      </c>
      <c r="K914" s="236" t="s">
        <v>2954</v>
      </c>
    </row>
    <row r="915" spans="10:11">
      <c r="J915" s="238" t="s">
        <v>2955</v>
      </c>
      <c r="K915" s="236" t="s">
        <v>2956</v>
      </c>
    </row>
    <row r="916" spans="10:11">
      <c r="J916" s="238" t="s">
        <v>2957</v>
      </c>
      <c r="K916" s="236" t="s">
        <v>2958</v>
      </c>
    </row>
    <row r="917" spans="10:11">
      <c r="J917" s="238" t="s">
        <v>2959</v>
      </c>
      <c r="K917" s="236" t="s">
        <v>2960</v>
      </c>
    </row>
    <row r="918" spans="10:11">
      <c r="J918" s="238" t="s">
        <v>2961</v>
      </c>
      <c r="K918" s="236" t="s">
        <v>2962</v>
      </c>
    </row>
    <row r="919" spans="10:11">
      <c r="J919" s="238" t="s">
        <v>2963</v>
      </c>
      <c r="K919" s="236" t="s">
        <v>2964</v>
      </c>
    </row>
    <row r="920" spans="10:11">
      <c r="J920" s="238" t="s">
        <v>2965</v>
      </c>
      <c r="K920" s="236" t="s">
        <v>2966</v>
      </c>
    </row>
    <row r="921" spans="10:11">
      <c r="J921" s="238" t="s">
        <v>2967</v>
      </c>
      <c r="K921" s="236" t="s">
        <v>2968</v>
      </c>
    </row>
    <row r="922" spans="10:11">
      <c r="J922" s="238" t="s">
        <v>2969</v>
      </c>
      <c r="K922" s="236" t="s">
        <v>58</v>
      </c>
    </row>
    <row r="923" spans="10:11">
      <c r="J923" s="238" t="s">
        <v>2970</v>
      </c>
      <c r="K923" s="236" t="s">
        <v>2862</v>
      </c>
    </row>
    <row r="924" spans="10:11">
      <c r="J924" s="238" t="s">
        <v>2971</v>
      </c>
      <c r="K924" s="236" t="s">
        <v>64</v>
      </c>
    </row>
    <row r="925" spans="10:11">
      <c r="J925" s="238" t="s">
        <v>2972</v>
      </c>
      <c r="K925" s="236" t="s">
        <v>2973</v>
      </c>
    </row>
    <row r="926" spans="10:11">
      <c r="J926" s="238" t="s">
        <v>2974</v>
      </c>
      <c r="K926" s="236" t="s">
        <v>2975</v>
      </c>
    </row>
    <row r="927" spans="10:11">
      <c r="J927" s="238" t="s">
        <v>2976</v>
      </c>
      <c r="K927" s="236" t="s">
        <v>2977</v>
      </c>
    </row>
    <row r="928" spans="10:11">
      <c r="J928" s="238" t="s">
        <v>2978</v>
      </c>
      <c r="K928" s="236" t="s">
        <v>2979</v>
      </c>
    </row>
    <row r="929" spans="10:11">
      <c r="J929" s="238" t="s">
        <v>2980</v>
      </c>
      <c r="K929" s="236" t="s">
        <v>2981</v>
      </c>
    </row>
    <row r="930" spans="10:11">
      <c r="J930" s="238" t="s">
        <v>2982</v>
      </c>
      <c r="K930" s="236" t="s">
        <v>2983</v>
      </c>
    </row>
    <row r="931" spans="10:11">
      <c r="J931" s="238" t="s">
        <v>2984</v>
      </c>
      <c r="K931" s="236" t="s">
        <v>2985</v>
      </c>
    </row>
    <row r="932" spans="10:11">
      <c r="J932" s="238" t="s">
        <v>2986</v>
      </c>
      <c r="K932" s="236" t="s">
        <v>2987</v>
      </c>
    </row>
    <row r="933" spans="10:11">
      <c r="J933" s="238" t="s">
        <v>2988</v>
      </c>
      <c r="K933" s="236" t="s">
        <v>2989</v>
      </c>
    </row>
    <row r="934" spans="10:11">
      <c r="J934" s="238" t="s">
        <v>2990</v>
      </c>
      <c r="K934" s="236" t="s">
        <v>2991</v>
      </c>
    </row>
    <row r="935" spans="10:11">
      <c r="J935" s="238" t="s">
        <v>2992</v>
      </c>
      <c r="K935" s="236" t="s">
        <v>2993</v>
      </c>
    </row>
    <row r="936" spans="10:11">
      <c r="J936" s="238" t="s">
        <v>2994</v>
      </c>
      <c r="K936" s="236" t="s">
        <v>2995</v>
      </c>
    </row>
    <row r="937" spans="10:11">
      <c r="J937" s="238" t="s">
        <v>2996</v>
      </c>
      <c r="K937" s="236" t="s">
        <v>2997</v>
      </c>
    </row>
    <row r="938" spans="10:11">
      <c r="J938" s="238" t="s">
        <v>2998</v>
      </c>
      <c r="K938" s="236" t="s">
        <v>58</v>
      </c>
    </row>
    <row r="939" spans="10:11">
      <c r="J939" s="238" t="s">
        <v>2999</v>
      </c>
      <c r="K939" s="236" t="s">
        <v>2862</v>
      </c>
    </row>
    <row r="940" spans="10:11">
      <c r="J940" s="238" t="s">
        <v>3000</v>
      </c>
      <c r="K940" s="236" t="s">
        <v>64</v>
      </c>
    </row>
    <row r="941" spans="10:11">
      <c r="J941" s="238" t="s">
        <v>3001</v>
      </c>
      <c r="K941" s="236" t="s">
        <v>3002</v>
      </c>
    </row>
    <row r="942" spans="10:11">
      <c r="J942" s="238" t="s">
        <v>3003</v>
      </c>
      <c r="K942" s="236" t="s">
        <v>3004</v>
      </c>
    </row>
    <row r="943" spans="10:11">
      <c r="J943" s="238" t="s">
        <v>3005</v>
      </c>
      <c r="K943" s="236" t="s">
        <v>3006</v>
      </c>
    </row>
    <row r="944" spans="10:11">
      <c r="J944" s="238" t="s">
        <v>3007</v>
      </c>
      <c r="K944" s="236" t="s">
        <v>3008</v>
      </c>
    </row>
    <row r="945" spans="10:11">
      <c r="J945" s="238" t="s">
        <v>3009</v>
      </c>
      <c r="K945" s="236" t="s">
        <v>3010</v>
      </c>
    </row>
    <row r="946" spans="10:11">
      <c r="J946" s="238" t="s">
        <v>3011</v>
      </c>
      <c r="K946" s="236" t="s">
        <v>3012</v>
      </c>
    </row>
    <row r="947" spans="10:11">
      <c r="J947" s="238" t="s">
        <v>3013</v>
      </c>
      <c r="K947" s="236" t="s">
        <v>3014</v>
      </c>
    </row>
    <row r="948" spans="10:11">
      <c r="J948" s="238" t="s">
        <v>3015</v>
      </c>
      <c r="K948" s="236" t="s">
        <v>3016</v>
      </c>
    </row>
    <row r="949" spans="10:11">
      <c r="J949" s="238" t="s">
        <v>3017</v>
      </c>
      <c r="K949" s="236" t="s">
        <v>3018</v>
      </c>
    </row>
    <row r="950" spans="10:11">
      <c r="J950" s="238" t="s">
        <v>3019</v>
      </c>
      <c r="K950" s="236" t="s">
        <v>3020</v>
      </c>
    </row>
    <row r="951" spans="10:11">
      <c r="J951" s="238" t="s">
        <v>3021</v>
      </c>
      <c r="K951" s="236" t="s">
        <v>3022</v>
      </c>
    </row>
    <row r="952" spans="10:11">
      <c r="J952" s="238" t="s">
        <v>3023</v>
      </c>
      <c r="K952" s="236" t="s">
        <v>3024</v>
      </c>
    </row>
    <row r="953" spans="10:11">
      <c r="J953" s="238" t="s">
        <v>3025</v>
      </c>
      <c r="K953" s="236" t="s">
        <v>3026</v>
      </c>
    </row>
    <row r="954" spans="10:11">
      <c r="J954" s="238" t="s">
        <v>3027</v>
      </c>
      <c r="K954" s="236" t="s">
        <v>3028</v>
      </c>
    </row>
    <row r="955" spans="10:11">
      <c r="J955" s="238" t="s">
        <v>3029</v>
      </c>
      <c r="K955" s="236" t="s">
        <v>3030</v>
      </c>
    </row>
    <row r="956" spans="10:11">
      <c r="J956" s="238" t="s">
        <v>3031</v>
      </c>
      <c r="K956" s="236" t="s">
        <v>3032</v>
      </c>
    </row>
    <row r="957" spans="10:11">
      <c r="J957" s="238" t="s">
        <v>3033</v>
      </c>
      <c r="K957" s="236" t="s">
        <v>3034</v>
      </c>
    </row>
    <row r="958" spans="10:11">
      <c r="J958" s="238" t="s">
        <v>3035</v>
      </c>
      <c r="K958" s="236" t="s">
        <v>3036</v>
      </c>
    </row>
    <row r="959" spans="10:11">
      <c r="J959" s="238" t="s">
        <v>3037</v>
      </c>
      <c r="K959" s="236" t="s">
        <v>3038</v>
      </c>
    </row>
    <row r="960" spans="10:11">
      <c r="J960" s="238" t="s">
        <v>3039</v>
      </c>
      <c r="K960" s="236" t="s">
        <v>3040</v>
      </c>
    </row>
    <row r="961" spans="10:11">
      <c r="J961" s="238" t="s">
        <v>3041</v>
      </c>
      <c r="K961" s="236" t="s">
        <v>3042</v>
      </c>
    </row>
    <row r="962" spans="10:11">
      <c r="J962" s="238" t="s">
        <v>3043</v>
      </c>
      <c r="K962" s="236" t="s">
        <v>58</v>
      </c>
    </row>
    <row r="963" spans="10:11">
      <c r="J963" s="238" t="s">
        <v>3044</v>
      </c>
      <c r="K963" s="236" t="s">
        <v>2862</v>
      </c>
    </row>
    <row r="964" spans="10:11">
      <c r="J964" s="238" t="s">
        <v>3045</v>
      </c>
      <c r="K964" s="236" t="s">
        <v>64</v>
      </c>
    </row>
    <row r="965" spans="10:11">
      <c r="J965" s="238" t="s">
        <v>3046</v>
      </c>
      <c r="K965" s="236" t="s">
        <v>1457</v>
      </c>
    </row>
    <row r="966" spans="10:11">
      <c r="J966" s="238" t="s">
        <v>3047</v>
      </c>
      <c r="K966" s="236" t="s">
        <v>1460</v>
      </c>
    </row>
    <row r="967" spans="10:11">
      <c r="J967" s="238" t="s">
        <v>3048</v>
      </c>
      <c r="K967" s="236" t="s">
        <v>58</v>
      </c>
    </row>
    <row r="968" spans="10:11">
      <c r="J968" s="238" t="s">
        <v>3049</v>
      </c>
      <c r="K968" s="236" t="s">
        <v>2862</v>
      </c>
    </row>
    <row r="969" spans="10:11">
      <c r="J969" s="238" t="s">
        <v>3050</v>
      </c>
      <c r="K969" s="236" t="s">
        <v>64</v>
      </c>
    </row>
    <row r="970" spans="10:11">
      <c r="J970" s="238" t="s">
        <v>3051</v>
      </c>
      <c r="K970" s="236" t="s">
        <v>3052</v>
      </c>
    </row>
    <row r="971" spans="10:11">
      <c r="J971" s="238" t="s">
        <v>3053</v>
      </c>
      <c r="K971" s="236" t="s">
        <v>3054</v>
      </c>
    </row>
    <row r="972" spans="10:11">
      <c r="J972" s="238" t="s">
        <v>3055</v>
      </c>
      <c r="K972" s="236" t="s">
        <v>1471</v>
      </c>
    </row>
    <row r="973" spans="10:11">
      <c r="J973" s="238" t="s">
        <v>3056</v>
      </c>
      <c r="K973" s="236" t="s">
        <v>3057</v>
      </c>
    </row>
    <row r="974" spans="10:11">
      <c r="J974" s="238" t="s">
        <v>3058</v>
      </c>
      <c r="K974" s="236" t="s">
        <v>3059</v>
      </c>
    </row>
    <row r="975" spans="10:11">
      <c r="J975" s="238" t="s">
        <v>3060</v>
      </c>
      <c r="K975" s="236" t="s">
        <v>3061</v>
      </c>
    </row>
    <row r="976" spans="10:11">
      <c r="J976" s="238" t="s">
        <v>3062</v>
      </c>
      <c r="K976" s="236" t="s">
        <v>3063</v>
      </c>
    </row>
    <row r="977" spans="10:11">
      <c r="J977" s="238" t="s">
        <v>3064</v>
      </c>
      <c r="K977" s="236" t="s">
        <v>3065</v>
      </c>
    </row>
    <row r="978" spans="10:11">
      <c r="J978" s="238" t="s">
        <v>3066</v>
      </c>
      <c r="K978" s="236" t="s">
        <v>3067</v>
      </c>
    </row>
    <row r="979" spans="10:11">
      <c r="J979" s="238" t="s">
        <v>3068</v>
      </c>
      <c r="K979" s="236" t="s">
        <v>3069</v>
      </c>
    </row>
    <row r="980" spans="10:11">
      <c r="J980" s="238" t="s">
        <v>3070</v>
      </c>
      <c r="K980" s="236" t="s">
        <v>3071</v>
      </c>
    </row>
    <row r="981" spans="10:11">
      <c r="J981" s="238" t="s">
        <v>3072</v>
      </c>
      <c r="K981" s="236" t="s">
        <v>58</v>
      </c>
    </row>
    <row r="982" spans="10:11">
      <c r="J982" s="238" t="s">
        <v>3073</v>
      </c>
      <c r="K982" s="236" t="s">
        <v>2862</v>
      </c>
    </row>
    <row r="983" spans="10:11">
      <c r="J983" s="238" t="s">
        <v>3074</v>
      </c>
      <c r="K983" s="236" t="s">
        <v>64</v>
      </c>
    </row>
    <row r="984" spans="10:11">
      <c r="J984" s="238" t="s">
        <v>3075</v>
      </c>
      <c r="K984" s="236" t="s">
        <v>1489</v>
      </c>
    </row>
    <row r="985" spans="10:11">
      <c r="J985" s="238" t="s">
        <v>3076</v>
      </c>
      <c r="K985" s="236" t="s">
        <v>3077</v>
      </c>
    </row>
    <row r="986" spans="10:11">
      <c r="J986" s="238" t="s">
        <v>3078</v>
      </c>
      <c r="K986" s="236" t="s">
        <v>3079</v>
      </c>
    </row>
    <row r="987" spans="10:11">
      <c r="J987" s="238" t="s">
        <v>3080</v>
      </c>
      <c r="K987" s="236" t="s">
        <v>3081</v>
      </c>
    </row>
    <row r="988" spans="10:11">
      <c r="J988" s="238" t="s">
        <v>3082</v>
      </c>
      <c r="K988" s="236" t="s">
        <v>3083</v>
      </c>
    </row>
    <row r="989" spans="10:11">
      <c r="J989" s="238" t="s">
        <v>3084</v>
      </c>
      <c r="K989" s="236" t="s">
        <v>1499</v>
      </c>
    </row>
    <row r="990" spans="10:11">
      <c r="J990" s="238" t="s">
        <v>3085</v>
      </c>
      <c r="K990" s="236" t="s">
        <v>1503</v>
      </c>
    </row>
    <row r="991" spans="10:11">
      <c r="J991" s="238" t="s">
        <v>3086</v>
      </c>
      <c r="K991" s="236" t="s">
        <v>3087</v>
      </c>
    </row>
    <row r="992" spans="10:11">
      <c r="J992" s="238" t="s">
        <v>3088</v>
      </c>
      <c r="K992" s="236" t="s">
        <v>3089</v>
      </c>
    </row>
    <row r="993" spans="10:11">
      <c r="J993" s="238" t="s">
        <v>3090</v>
      </c>
      <c r="K993" s="236" t="s">
        <v>3091</v>
      </c>
    </row>
    <row r="994" spans="10:11">
      <c r="J994" s="238" t="s">
        <v>3092</v>
      </c>
      <c r="K994" s="236" t="s">
        <v>3093</v>
      </c>
    </row>
    <row r="995" spans="10:11">
      <c r="J995" s="238" t="s">
        <v>3094</v>
      </c>
      <c r="K995" s="236" t="s">
        <v>3095</v>
      </c>
    </row>
    <row r="996" spans="10:11">
      <c r="J996" s="238" t="s">
        <v>3096</v>
      </c>
      <c r="K996" s="236" t="s">
        <v>3097</v>
      </c>
    </row>
    <row r="997" spans="10:11">
      <c r="J997" s="238" t="s">
        <v>3098</v>
      </c>
      <c r="K997" s="236" t="s">
        <v>3099</v>
      </c>
    </row>
    <row r="998" spans="10:11">
      <c r="J998" s="238" t="s">
        <v>3100</v>
      </c>
      <c r="K998" s="236" t="s">
        <v>3101</v>
      </c>
    </row>
    <row r="999" spans="10:11">
      <c r="J999" s="238" t="s">
        <v>3102</v>
      </c>
      <c r="K999" s="236" t="s">
        <v>3103</v>
      </c>
    </row>
    <row r="1000" spans="10:11">
      <c r="J1000" s="238" t="s">
        <v>3104</v>
      </c>
      <c r="K1000" s="236" t="s">
        <v>3105</v>
      </c>
    </row>
    <row r="1001" spans="10:11">
      <c r="J1001" s="238" t="s">
        <v>3106</v>
      </c>
      <c r="K1001" s="236" t="s">
        <v>3107</v>
      </c>
    </row>
    <row r="1002" spans="10:11">
      <c r="J1002" s="238" t="s">
        <v>3108</v>
      </c>
      <c r="K1002" s="236" t="s">
        <v>3109</v>
      </c>
    </row>
    <row r="1003" spans="10:11">
      <c r="J1003" s="238" t="s">
        <v>3110</v>
      </c>
      <c r="K1003" s="236" t="s">
        <v>3111</v>
      </c>
    </row>
    <row r="1004" spans="10:11">
      <c r="J1004" s="238" t="s">
        <v>3112</v>
      </c>
      <c r="K1004" s="236" t="s">
        <v>58</v>
      </c>
    </row>
    <row r="1005" spans="10:11">
      <c r="J1005" s="238" t="s">
        <v>3113</v>
      </c>
      <c r="K1005" s="236" t="s">
        <v>2862</v>
      </c>
    </row>
    <row r="1006" spans="10:11">
      <c r="J1006" s="238" t="s">
        <v>3114</v>
      </c>
      <c r="K1006" s="236" t="s">
        <v>64</v>
      </c>
    </row>
    <row r="1007" spans="10:11">
      <c r="J1007" s="238" t="s">
        <v>3115</v>
      </c>
      <c r="K1007" s="236" t="s">
        <v>3116</v>
      </c>
    </row>
    <row r="1008" spans="10:11">
      <c r="J1008" s="238" t="s">
        <v>3117</v>
      </c>
      <c r="K1008" s="236" t="s">
        <v>3118</v>
      </c>
    </row>
    <row r="1009" spans="10:11">
      <c r="J1009" s="238" t="s">
        <v>3119</v>
      </c>
      <c r="K1009" s="236" t="s">
        <v>3120</v>
      </c>
    </row>
    <row r="1010" spans="10:11">
      <c r="J1010" s="238" t="s">
        <v>3121</v>
      </c>
      <c r="K1010" s="236" t="s">
        <v>3122</v>
      </c>
    </row>
    <row r="1011" spans="10:11">
      <c r="J1011" s="238" t="s">
        <v>3123</v>
      </c>
      <c r="K1011" s="236" t="s">
        <v>1523</v>
      </c>
    </row>
    <row r="1012" spans="10:11">
      <c r="J1012" s="238" t="s">
        <v>3124</v>
      </c>
      <c r="K1012" s="236" t="s">
        <v>3125</v>
      </c>
    </row>
    <row r="1013" spans="10:11">
      <c r="J1013" s="238" t="s">
        <v>3126</v>
      </c>
      <c r="K1013" s="236" t="s">
        <v>3127</v>
      </c>
    </row>
    <row r="1014" spans="10:11">
      <c r="J1014" s="238" t="s">
        <v>3128</v>
      </c>
      <c r="K1014" s="236" t="s">
        <v>3129</v>
      </c>
    </row>
    <row r="1015" spans="10:11">
      <c r="J1015" s="238" t="s">
        <v>3130</v>
      </c>
      <c r="K1015" s="236" t="s">
        <v>3131</v>
      </c>
    </row>
    <row r="1016" spans="10:11">
      <c r="J1016" s="238" t="s">
        <v>3132</v>
      </c>
      <c r="K1016" s="236" t="s">
        <v>58</v>
      </c>
    </row>
    <row r="1017" spans="10:11">
      <c r="J1017" s="238" t="s">
        <v>3133</v>
      </c>
      <c r="K1017" s="236" t="s">
        <v>2862</v>
      </c>
    </row>
    <row r="1018" spans="10:11">
      <c r="J1018" s="238" t="s">
        <v>3134</v>
      </c>
      <c r="K1018" s="236" t="s">
        <v>64</v>
      </c>
    </row>
    <row r="1019" spans="10:11">
      <c r="J1019" s="238" t="s">
        <v>3135</v>
      </c>
      <c r="K1019" s="236" t="s">
        <v>3136</v>
      </c>
    </row>
    <row r="1020" spans="10:11">
      <c r="J1020" s="238" t="s">
        <v>3137</v>
      </c>
      <c r="K1020" s="236" t="s">
        <v>3138</v>
      </c>
    </row>
    <row r="1021" spans="10:11">
      <c r="J1021" s="238" t="s">
        <v>3139</v>
      </c>
      <c r="K1021" s="236" t="s">
        <v>3140</v>
      </c>
    </row>
    <row r="1022" spans="10:11">
      <c r="J1022" s="238" t="s">
        <v>3141</v>
      </c>
      <c r="K1022" s="236" t="s">
        <v>3142</v>
      </c>
    </row>
    <row r="1023" spans="10:11">
      <c r="J1023" s="238" t="s">
        <v>3143</v>
      </c>
      <c r="K1023" s="236" t="s">
        <v>3144</v>
      </c>
    </row>
    <row r="1024" spans="10:11">
      <c r="J1024" s="238" t="s">
        <v>3145</v>
      </c>
      <c r="K1024" s="236" t="s">
        <v>3146</v>
      </c>
    </row>
    <row r="1025" spans="10:11">
      <c r="J1025" s="238" t="s">
        <v>3147</v>
      </c>
      <c r="K1025" s="236" t="s">
        <v>3148</v>
      </c>
    </row>
    <row r="1026" spans="10:11">
      <c r="J1026" s="238" t="s">
        <v>3149</v>
      </c>
      <c r="K1026" s="236" t="s">
        <v>3150</v>
      </c>
    </row>
    <row r="1027" spans="10:11">
      <c r="J1027" s="238" t="s">
        <v>3151</v>
      </c>
      <c r="K1027" s="236" t="s">
        <v>3152</v>
      </c>
    </row>
    <row r="1028" spans="10:11">
      <c r="J1028" s="238" t="s">
        <v>3153</v>
      </c>
      <c r="K1028" s="236" t="s">
        <v>3154</v>
      </c>
    </row>
    <row r="1029" spans="10:11">
      <c r="J1029" s="238" t="s">
        <v>3155</v>
      </c>
      <c r="K1029" s="236" t="s">
        <v>3156</v>
      </c>
    </row>
    <row r="1030" spans="10:11">
      <c r="J1030" s="238" t="s">
        <v>3157</v>
      </c>
      <c r="K1030" s="236" t="s">
        <v>3158</v>
      </c>
    </row>
    <row r="1031" spans="10:11">
      <c r="J1031" s="238" t="s">
        <v>3159</v>
      </c>
      <c r="K1031" s="236" t="s">
        <v>3160</v>
      </c>
    </row>
    <row r="1032" spans="10:11">
      <c r="J1032" s="238" t="s">
        <v>3161</v>
      </c>
      <c r="K1032" s="236" t="s">
        <v>3162</v>
      </c>
    </row>
    <row r="1033" spans="10:11">
      <c r="J1033" s="238" t="s">
        <v>3163</v>
      </c>
      <c r="K1033" s="236" t="s">
        <v>3164</v>
      </c>
    </row>
    <row r="1034" spans="10:11">
      <c r="J1034" s="238" t="s">
        <v>3165</v>
      </c>
      <c r="K1034" s="236" t="s">
        <v>3166</v>
      </c>
    </row>
    <row r="1035" spans="10:11">
      <c r="J1035" s="238" t="s">
        <v>3167</v>
      </c>
      <c r="K1035" s="236" t="s">
        <v>3168</v>
      </c>
    </row>
    <row r="1036" spans="10:11">
      <c r="J1036" s="238" t="s">
        <v>3169</v>
      </c>
      <c r="K1036" s="236" t="s">
        <v>3170</v>
      </c>
    </row>
    <row r="1037" spans="10:11">
      <c r="J1037" s="238" t="s">
        <v>3171</v>
      </c>
      <c r="K1037" s="236" t="s">
        <v>3172</v>
      </c>
    </row>
    <row r="1038" spans="10:11">
      <c r="J1038" s="238" t="s">
        <v>3173</v>
      </c>
      <c r="K1038" s="236" t="s">
        <v>3174</v>
      </c>
    </row>
    <row r="1039" spans="10:11">
      <c r="J1039" s="238" t="s">
        <v>3175</v>
      </c>
      <c r="K1039" s="236" t="s">
        <v>3176</v>
      </c>
    </row>
    <row r="1040" spans="10:11">
      <c r="J1040" s="238" t="s">
        <v>3177</v>
      </c>
      <c r="K1040" s="236" t="s">
        <v>3178</v>
      </c>
    </row>
    <row r="1041" spans="10:11">
      <c r="J1041" s="238" t="s">
        <v>3179</v>
      </c>
      <c r="K1041" s="236" t="s">
        <v>3180</v>
      </c>
    </row>
    <row r="1042" spans="10:11">
      <c r="J1042" s="238" t="s">
        <v>3181</v>
      </c>
      <c r="K1042" s="236" t="s">
        <v>3182</v>
      </c>
    </row>
    <row r="1043" spans="10:11">
      <c r="J1043" s="238" t="s">
        <v>3183</v>
      </c>
      <c r="K1043" s="236" t="s">
        <v>3184</v>
      </c>
    </row>
    <row r="1044" spans="10:11">
      <c r="J1044" s="238" t="s">
        <v>3185</v>
      </c>
      <c r="K1044" s="236" t="s">
        <v>3186</v>
      </c>
    </row>
    <row r="1045" spans="10:11">
      <c r="J1045" s="238" t="s">
        <v>3187</v>
      </c>
      <c r="K1045" s="236" t="s">
        <v>3188</v>
      </c>
    </row>
    <row r="1046" spans="10:11">
      <c r="J1046" s="238" t="s">
        <v>3189</v>
      </c>
      <c r="K1046" s="236" t="s">
        <v>3190</v>
      </c>
    </row>
    <row r="1047" spans="10:11">
      <c r="J1047" s="238" t="s">
        <v>3191</v>
      </c>
      <c r="K1047" s="236" t="s">
        <v>3192</v>
      </c>
    </row>
    <row r="1048" spans="10:11">
      <c r="J1048" s="238" t="s">
        <v>3193</v>
      </c>
      <c r="K1048" s="236" t="s">
        <v>3194</v>
      </c>
    </row>
    <row r="1049" spans="10:11">
      <c r="J1049" s="238" t="s">
        <v>3195</v>
      </c>
      <c r="K1049" s="236" t="s">
        <v>3196</v>
      </c>
    </row>
    <row r="1050" spans="10:11">
      <c r="J1050" s="238" t="s">
        <v>3197</v>
      </c>
      <c r="K1050" s="236" t="s">
        <v>3198</v>
      </c>
    </row>
    <row r="1051" spans="10:11">
      <c r="J1051" s="238" t="s">
        <v>3199</v>
      </c>
      <c r="K1051" s="236" t="s">
        <v>3200</v>
      </c>
    </row>
    <row r="1052" spans="10:11">
      <c r="J1052" s="238" t="s">
        <v>3201</v>
      </c>
      <c r="K1052" s="236" t="s">
        <v>3202</v>
      </c>
    </row>
    <row r="1053" spans="10:11">
      <c r="J1053" s="238" t="s">
        <v>3203</v>
      </c>
      <c r="K1053" s="236" t="s">
        <v>3204</v>
      </c>
    </row>
    <row r="1054" spans="10:11">
      <c r="J1054" s="238" t="s">
        <v>3205</v>
      </c>
      <c r="K1054" s="236" t="s">
        <v>58</v>
      </c>
    </row>
    <row r="1055" spans="10:11">
      <c r="J1055" s="238" t="s">
        <v>3206</v>
      </c>
      <c r="K1055" s="236" t="s">
        <v>2862</v>
      </c>
    </row>
    <row r="1056" spans="10:11">
      <c r="J1056" s="238" t="s">
        <v>3207</v>
      </c>
      <c r="K1056" s="236" t="s">
        <v>64</v>
      </c>
    </row>
    <row r="1057" spans="10:11">
      <c r="J1057" s="238" t="s">
        <v>3208</v>
      </c>
      <c r="K1057" s="236" t="s">
        <v>3209</v>
      </c>
    </row>
    <row r="1058" spans="10:11">
      <c r="J1058" s="238" t="s">
        <v>3210</v>
      </c>
      <c r="K1058" s="236" t="s">
        <v>3211</v>
      </c>
    </row>
    <row r="1059" spans="10:11">
      <c r="J1059" s="238" t="s">
        <v>3212</v>
      </c>
      <c r="K1059" s="236" t="s">
        <v>3213</v>
      </c>
    </row>
    <row r="1060" spans="10:11">
      <c r="J1060" s="238" t="s">
        <v>3214</v>
      </c>
      <c r="K1060" s="236" t="s">
        <v>3215</v>
      </c>
    </row>
    <row r="1061" spans="10:11">
      <c r="J1061" s="238" t="s">
        <v>3216</v>
      </c>
      <c r="K1061" s="236" t="s">
        <v>3217</v>
      </c>
    </row>
    <row r="1062" spans="10:11">
      <c r="J1062" s="238" t="s">
        <v>3218</v>
      </c>
      <c r="K1062" s="236" t="s">
        <v>1579</v>
      </c>
    </row>
    <row r="1063" spans="10:11">
      <c r="J1063" s="238" t="s">
        <v>3219</v>
      </c>
      <c r="K1063" s="236" t="s">
        <v>1583</v>
      </c>
    </row>
    <row r="1064" spans="10:11">
      <c r="J1064" s="238" t="s">
        <v>3220</v>
      </c>
      <c r="K1064" s="236" t="s">
        <v>58</v>
      </c>
    </row>
    <row r="1065" spans="10:11">
      <c r="J1065" s="238" t="s">
        <v>3221</v>
      </c>
      <c r="K1065" s="236" t="s">
        <v>64</v>
      </c>
    </row>
    <row r="1066" spans="10:11">
      <c r="J1066" s="238" t="s">
        <v>3222</v>
      </c>
      <c r="K1066" s="236" t="s">
        <v>1591</v>
      </c>
    </row>
    <row r="1067" spans="10:11">
      <c r="J1067" s="238" t="s">
        <v>3223</v>
      </c>
      <c r="K1067" s="236" t="s">
        <v>3224</v>
      </c>
    </row>
    <row r="1068" spans="10:11">
      <c r="J1068" s="238" t="s">
        <v>3225</v>
      </c>
      <c r="K1068" s="236" t="s">
        <v>3226</v>
      </c>
    </row>
    <row r="1069" spans="10:11">
      <c r="J1069" s="238" t="s">
        <v>3227</v>
      </c>
      <c r="K1069" s="236" t="s">
        <v>3228</v>
      </c>
    </row>
    <row r="1070" spans="10:11">
      <c r="J1070" s="238" t="s">
        <v>3229</v>
      </c>
      <c r="K1070" s="236" t="s">
        <v>3230</v>
      </c>
    </row>
    <row r="1071" spans="10:11">
      <c r="J1071" s="238" t="s">
        <v>3231</v>
      </c>
      <c r="K1071" s="236" t="s">
        <v>58</v>
      </c>
    </row>
    <row r="1072" spans="10:11">
      <c r="J1072" s="238" t="s">
        <v>3232</v>
      </c>
      <c r="K1072" s="236" t="s">
        <v>64</v>
      </c>
    </row>
    <row r="1073" spans="10:11">
      <c r="J1073" s="238" t="s">
        <v>3233</v>
      </c>
      <c r="K1073" s="236" t="s">
        <v>3234</v>
      </c>
    </row>
    <row r="1074" spans="10:11">
      <c r="J1074" s="238" t="s">
        <v>3235</v>
      </c>
      <c r="K1074" s="236" t="s">
        <v>3236</v>
      </c>
    </row>
    <row r="1075" spans="10:11">
      <c r="J1075" s="238" t="s">
        <v>3237</v>
      </c>
      <c r="K1075" s="236" t="s">
        <v>3238</v>
      </c>
    </row>
    <row r="1076" spans="10:11">
      <c r="J1076" s="238" t="s">
        <v>3239</v>
      </c>
      <c r="K1076" s="236" t="s">
        <v>3240</v>
      </c>
    </row>
    <row r="1077" spans="10:11">
      <c r="J1077" s="238" t="s">
        <v>3241</v>
      </c>
      <c r="K1077" s="236" t="s">
        <v>3242</v>
      </c>
    </row>
    <row r="1078" spans="10:11">
      <c r="J1078" s="238" t="s">
        <v>3243</v>
      </c>
      <c r="K1078" s="236" t="s">
        <v>3244</v>
      </c>
    </row>
    <row r="1079" spans="10:11">
      <c r="J1079" s="238" t="s">
        <v>3245</v>
      </c>
      <c r="K1079" s="236" t="s">
        <v>3246</v>
      </c>
    </row>
    <row r="1080" spans="10:11">
      <c r="J1080" s="238" t="s">
        <v>3247</v>
      </c>
      <c r="K1080" s="236" t="s">
        <v>3248</v>
      </c>
    </row>
    <row r="1081" spans="10:11">
      <c r="J1081" s="238" t="s">
        <v>3249</v>
      </c>
      <c r="K1081" s="236" t="s">
        <v>3250</v>
      </c>
    </row>
    <row r="1082" spans="10:11">
      <c r="J1082" s="238" t="s">
        <v>3251</v>
      </c>
      <c r="K1082" s="236" t="s">
        <v>58</v>
      </c>
    </row>
    <row r="1083" spans="10:11">
      <c r="J1083" s="238" t="s">
        <v>3252</v>
      </c>
      <c r="K1083" s="236" t="s">
        <v>64</v>
      </c>
    </row>
    <row r="1084" spans="10:11">
      <c r="J1084" s="238" t="s">
        <v>3253</v>
      </c>
      <c r="K1084" s="236" t="s">
        <v>3254</v>
      </c>
    </row>
    <row r="1085" spans="10:11">
      <c r="J1085" s="238" t="s">
        <v>3255</v>
      </c>
      <c r="K1085" s="236" t="s">
        <v>3256</v>
      </c>
    </row>
    <row r="1086" spans="10:11">
      <c r="J1086" s="238" t="s">
        <v>3257</v>
      </c>
      <c r="K1086" s="236" t="s">
        <v>1619</v>
      </c>
    </row>
    <row r="1087" spans="10:11">
      <c r="J1087" s="238" t="s">
        <v>3258</v>
      </c>
      <c r="K1087" s="236" t="s">
        <v>3259</v>
      </c>
    </row>
    <row r="1088" spans="10:11">
      <c r="J1088" s="238" t="s">
        <v>3260</v>
      </c>
      <c r="K1088" s="236" t="s">
        <v>3261</v>
      </c>
    </row>
    <row r="1089" spans="10:11">
      <c r="J1089" s="238" t="s">
        <v>3262</v>
      </c>
      <c r="K1089" s="236" t="s">
        <v>3263</v>
      </c>
    </row>
    <row r="1090" spans="10:11">
      <c r="J1090" s="238" t="s">
        <v>3264</v>
      </c>
      <c r="K1090" s="236" t="s">
        <v>3265</v>
      </c>
    </row>
    <row r="1091" spans="10:11">
      <c r="J1091" s="238" t="s">
        <v>3266</v>
      </c>
      <c r="K1091" s="236" t="s">
        <v>3267</v>
      </c>
    </row>
    <row r="1092" spans="10:11">
      <c r="J1092" s="238" t="s">
        <v>3268</v>
      </c>
      <c r="K1092" s="236" t="s">
        <v>3269</v>
      </c>
    </row>
    <row r="1093" spans="10:11">
      <c r="J1093" s="238" t="s">
        <v>3270</v>
      </c>
      <c r="K1093" s="236" t="s">
        <v>58</v>
      </c>
    </row>
    <row r="1094" spans="10:11">
      <c r="J1094" s="238" t="s">
        <v>3271</v>
      </c>
      <c r="K1094" s="236" t="s">
        <v>64</v>
      </c>
    </row>
    <row r="1095" spans="10:11">
      <c r="J1095" s="238" t="s">
        <v>3272</v>
      </c>
      <c r="K1095" s="236" t="s">
        <v>3273</v>
      </c>
    </row>
    <row r="1096" spans="10:11">
      <c r="J1096" s="238" t="s">
        <v>3274</v>
      </c>
      <c r="K1096" s="236" t="s">
        <v>3275</v>
      </c>
    </row>
    <row r="1097" spans="10:11">
      <c r="J1097" s="238" t="s">
        <v>3276</v>
      </c>
      <c r="K1097" s="236" t="s">
        <v>3277</v>
      </c>
    </row>
    <row r="1098" spans="10:11">
      <c r="J1098" s="238" t="s">
        <v>3278</v>
      </c>
      <c r="K1098" s="236" t="s">
        <v>3279</v>
      </c>
    </row>
    <row r="1099" spans="10:11">
      <c r="J1099" s="238" t="s">
        <v>3280</v>
      </c>
      <c r="K1099" s="236" t="s">
        <v>3281</v>
      </c>
    </row>
    <row r="1100" spans="10:11">
      <c r="J1100" s="238" t="s">
        <v>3282</v>
      </c>
      <c r="K1100" s="236" t="s">
        <v>3283</v>
      </c>
    </row>
    <row r="1101" spans="10:11">
      <c r="J1101" s="238" t="s">
        <v>3284</v>
      </c>
      <c r="K1101" s="236" t="s">
        <v>3285</v>
      </c>
    </row>
    <row r="1102" spans="10:11">
      <c r="J1102" s="238" t="s">
        <v>3286</v>
      </c>
      <c r="K1102" s="236" t="s">
        <v>58</v>
      </c>
    </row>
    <row r="1103" spans="10:11">
      <c r="J1103" s="238" t="s">
        <v>3287</v>
      </c>
      <c r="K1103" s="236" t="s">
        <v>64</v>
      </c>
    </row>
    <row r="1104" spans="10:11">
      <c r="J1104" s="238" t="s">
        <v>3288</v>
      </c>
      <c r="K1104" s="236" t="s">
        <v>3289</v>
      </c>
    </row>
    <row r="1105" spans="10:11">
      <c r="J1105" s="238" t="s">
        <v>3290</v>
      </c>
      <c r="K1105" s="236" t="s">
        <v>3291</v>
      </c>
    </row>
    <row r="1106" spans="10:11">
      <c r="J1106" s="238" t="s">
        <v>3292</v>
      </c>
      <c r="K1106" s="236" t="s">
        <v>3293</v>
      </c>
    </row>
    <row r="1107" spans="10:11">
      <c r="J1107" s="238" t="s">
        <v>3294</v>
      </c>
      <c r="K1107" s="236" t="s">
        <v>3295</v>
      </c>
    </row>
    <row r="1108" spans="10:11">
      <c r="J1108" s="238" t="s">
        <v>3296</v>
      </c>
      <c r="K1108" s="236" t="s">
        <v>3297</v>
      </c>
    </row>
    <row r="1109" spans="10:11">
      <c r="J1109" s="238" t="s">
        <v>3298</v>
      </c>
      <c r="K1109" s="236" t="s">
        <v>3299</v>
      </c>
    </row>
    <row r="1110" spans="10:11">
      <c r="J1110" s="238" t="s">
        <v>3300</v>
      </c>
      <c r="K1110" s="236" t="s">
        <v>3301</v>
      </c>
    </row>
    <row r="1111" spans="10:11">
      <c r="J1111" s="238" t="s">
        <v>3302</v>
      </c>
      <c r="K1111" s="236" t="s">
        <v>3303</v>
      </c>
    </row>
    <row r="1112" spans="10:11">
      <c r="J1112" s="238" t="s">
        <v>3304</v>
      </c>
      <c r="K1112" s="236" t="s">
        <v>3305</v>
      </c>
    </row>
    <row r="1113" spans="10:11">
      <c r="J1113" s="238" t="s">
        <v>3306</v>
      </c>
      <c r="K1113" s="236" t="s">
        <v>3307</v>
      </c>
    </row>
    <row r="1114" spans="10:11">
      <c r="J1114" s="238" t="s">
        <v>3308</v>
      </c>
      <c r="K1114" s="236" t="s">
        <v>3309</v>
      </c>
    </row>
    <row r="1115" spans="10:11">
      <c r="J1115" s="238" t="s">
        <v>3310</v>
      </c>
      <c r="K1115" s="236" t="s">
        <v>3311</v>
      </c>
    </row>
    <row r="1116" spans="10:11">
      <c r="J1116" s="238" t="s">
        <v>3312</v>
      </c>
      <c r="K1116" s="236" t="s">
        <v>3313</v>
      </c>
    </row>
    <row r="1117" spans="10:11">
      <c r="J1117" s="238" t="s">
        <v>3314</v>
      </c>
      <c r="K1117" s="236" t="s">
        <v>3315</v>
      </c>
    </row>
    <row r="1118" spans="10:11">
      <c r="J1118" s="238" t="s">
        <v>3316</v>
      </c>
      <c r="K1118" s="236" t="s">
        <v>58</v>
      </c>
    </row>
    <row r="1119" spans="10:11">
      <c r="J1119" s="238" t="s">
        <v>3317</v>
      </c>
      <c r="K1119" s="236" t="s">
        <v>64</v>
      </c>
    </row>
    <row r="1120" spans="10:11">
      <c r="J1120" s="238" t="s">
        <v>3318</v>
      </c>
      <c r="K1120" s="236" t="s">
        <v>3319</v>
      </c>
    </row>
    <row r="1121" spans="10:11">
      <c r="J1121" s="238" t="s">
        <v>3320</v>
      </c>
      <c r="K1121" s="236" t="s">
        <v>3321</v>
      </c>
    </row>
    <row r="1122" spans="10:11">
      <c r="J1122" s="238" t="s">
        <v>3322</v>
      </c>
      <c r="K1122" s="236" t="s">
        <v>3323</v>
      </c>
    </row>
    <row r="1123" spans="10:11">
      <c r="J1123" s="238" t="s">
        <v>3324</v>
      </c>
      <c r="K1123" s="236" t="s">
        <v>3325</v>
      </c>
    </row>
    <row r="1124" spans="10:11">
      <c r="J1124" s="238" t="s">
        <v>3326</v>
      </c>
      <c r="K1124" s="236" t="s">
        <v>3327</v>
      </c>
    </row>
    <row r="1125" spans="10:11">
      <c r="J1125" s="238" t="s">
        <v>3328</v>
      </c>
      <c r="K1125" s="236" t="s">
        <v>3329</v>
      </c>
    </row>
    <row r="1126" spans="10:11">
      <c r="J1126" s="238" t="s">
        <v>3330</v>
      </c>
      <c r="K1126" s="236" t="s">
        <v>3331</v>
      </c>
    </row>
    <row r="1127" spans="10:11">
      <c r="J1127" s="238" t="s">
        <v>3332</v>
      </c>
      <c r="K1127" s="236" t="s">
        <v>3333</v>
      </c>
    </row>
    <row r="1128" spans="10:11">
      <c r="J1128" s="238" t="s">
        <v>3334</v>
      </c>
      <c r="K1128" s="236" t="s">
        <v>3335</v>
      </c>
    </row>
    <row r="1129" spans="10:11">
      <c r="J1129" s="238" t="s">
        <v>3336</v>
      </c>
      <c r="K1129" s="236" t="s">
        <v>3337</v>
      </c>
    </row>
    <row r="1130" spans="10:11">
      <c r="J1130" s="238" t="s">
        <v>3338</v>
      </c>
      <c r="K1130" s="236" t="s">
        <v>3339</v>
      </c>
    </row>
    <row r="1131" spans="10:11">
      <c r="J1131" s="238" t="s">
        <v>3340</v>
      </c>
      <c r="K1131" s="236" t="s">
        <v>3341</v>
      </c>
    </row>
    <row r="1132" spans="10:11">
      <c r="J1132" s="238" t="s">
        <v>3342</v>
      </c>
      <c r="K1132" s="236" t="s">
        <v>3343</v>
      </c>
    </row>
    <row r="1133" spans="10:11">
      <c r="J1133" s="238" t="s">
        <v>3344</v>
      </c>
      <c r="K1133" s="236" t="s">
        <v>3345</v>
      </c>
    </row>
    <row r="1134" spans="10:11">
      <c r="J1134" s="238" t="s">
        <v>3346</v>
      </c>
      <c r="K1134" s="236" t="s">
        <v>3347</v>
      </c>
    </row>
    <row r="1135" spans="10:11">
      <c r="J1135" s="238" t="s">
        <v>3348</v>
      </c>
      <c r="K1135" s="236" t="s">
        <v>3349</v>
      </c>
    </row>
    <row r="1136" spans="10:11">
      <c r="J1136" s="238" t="s">
        <v>3350</v>
      </c>
      <c r="K1136" s="236" t="s">
        <v>58</v>
      </c>
    </row>
    <row r="1137" spans="10:11">
      <c r="J1137" s="238" t="s">
        <v>3351</v>
      </c>
      <c r="K1137" s="236" t="s">
        <v>64</v>
      </c>
    </row>
    <row r="1138" spans="10:11">
      <c r="J1138" s="238" t="s">
        <v>3352</v>
      </c>
      <c r="K1138" s="236" t="s">
        <v>3353</v>
      </c>
    </row>
    <row r="1139" spans="10:11">
      <c r="J1139" s="238" t="s">
        <v>3354</v>
      </c>
      <c r="K1139" s="236" t="s">
        <v>3355</v>
      </c>
    </row>
    <row r="1140" spans="10:11">
      <c r="J1140" s="238" t="s">
        <v>3356</v>
      </c>
      <c r="K1140" s="236" t="s">
        <v>1682</v>
      </c>
    </row>
    <row r="1141" spans="10:11">
      <c r="J1141" s="238" t="s">
        <v>3357</v>
      </c>
      <c r="K1141" s="236" t="s">
        <v>58</v>
      </c>
    </row>
    <row r="1142" spans="10:11">
      <c r="J1142" s="238" t="s">
        <v>3358</v>
      </c>
      <c r="K1142" s="236" t="s">
        <v>64</v>
      </c>
    </row>
    <row r="1143" spans="10:11">
      <c r="J1143" s="238" t="s">
        <v>3359</v>
      </c>
      <c r="K1143" s="236" t="s">
        <v>3360</v>
      </c>
    </row>
    <row r="1144" spans="10:11">
      <c r="J1144" s="238" t="s">
        <v>3361</v>
      </c>
      <c r="K1144" s="236" t="s">
        <v>3362</v>
      </c>
    </row>
    <row r="1145" spans="10:11">
      <c r="J1145" s="238" t="s">
        <v>3363</v>
      </c>
      <c r="K1145" s="236" t="s">
        <v>3364</v>
      </c>
    </row>
    <row r="1146" spans="10:11">
      <c r="J1146" s="238" t="s">
        <v>3365</v>
      </c>
      <c r="K1146" s="236" t="s">
        <v>3366</v>
      </c>
    </row>
    <row r="1147" spans="10:11">
      <c r="J1147" s="238" t="s">
        <v>3367</v>
      </c>
      <c r="K1147" s="236" t="s">
        <v>3368</v>
      </c>
    </row>
    <row r="1148" spans="10:11">
      <c r="J1148" s="238" t="s">
        <v>3369</v>
      </c>
      <c r="K1148" s="236" t="s">
        <v>1698</v>
      </c>
    </row>
    <row r="1149" spans="10:11">
      <c r="J1149" s="238" t="s">
        <v>3370</v>
      </c>
      <c r="K1149" s="236" t="s">
        <v>1702</v>
      </c>
    </row>
    <row r="1150" spans="10:11">
      <c r="J1150" s="238" t="s">
        <v>3371</v>
      </c>
      <c r="K1150" s="236" t="s">
        <v>58</v>
      </c>
    </row>
    <row r="1151" spans="10:11">
      <c r="J1151" s="238" t="s">
        <v>3372</v>
      </c>
      <c r="K1151" s="236" t="s">
        <v>64</v>
      </c>
    </row>
    <row r="1152" spans="10:11">
      <c r="J1152" s="238" t="s">
        <v>3373</v>
      </c>
      <c r="K1152" s="236" t="s">
        <v>3374</v>
      </c>
    </row>
    <row r="1153" spans="10:11">
      <c r="J1153" s="238" t="s">
        <v>3375</v>
      </c>
      <c r="K1153" s="236" t="s">
        <v>3376</v>
      </c>
    </row>
    <row r="1154" spans="10:11">
      <c r="J1154" s="238" t="s">
        <v>3377</v>
      </c>
      <c r="K1154" s="236" t="s">
        <v>3378</v>
      </c>
    </row>
    <row r="1155" spans="10:11">
      <c r="J1155" s="238" t="s">
        <v>3379</v>
      </c>
      <c r="K1155" s="236" t="s">
        <v>3380</v>
      </c>
    </row>
    <row r="1156" spans="10:11">
      <c r="J1156" s="238" t="s">
        <v>3381</v>
      </c>
      <c r="K1156" s="236" t="s">
        <v>3382</v>
      </c>
    </row>
    <row r="1157" spans="10:11">
      <c r="J1157" s="238" t="s">
        <v>3383</v>
      </c>
      <c r="K1157" s="236" t="s">
        <v>3384</v>
      </c>
    </row>
    <row r="1158" spans="10:11">
      <c r="J1158" s="238" t="s">
        <v>3385</v>
      </c>
      <c r="K1158" s="236" t="s">
        <v>1722</v>
      </c>
    </row>
    <row r="1159" spans="10:11">
      <c r="J1159" s="238" t="s">
        <v>3386</v>
      </c>
      <c r="K1159" s="236" t="s">
        <v>1726</v>
      </c>
    </row>
    <row r="1160" spans="10:11">
      <c r="J1160" s="238" t="s">
        <v>3387</v>
      </c>
      <c r="K1160" s="236" t="s">
        <v>3388</v>
      </c>
    </row>
    <row r="1161" spans="10:11">
      <c r="J1161" s="238" t="s">
        <v>3389</v>
      </c>
      <c r="K1161" s="236" t="s">
        <v>3390</v>
      </c>
    </row>
    <row r="1162" spans="10:11">
      <c r="J1162" s="238" t="s">
        <v>3391</v>
      </c>
      <c r="K1162" s="236" t="s">
        <v>3392</v>
      </c>
    </row>
    <row r="1163" spans="10:11">
      <c r="J1163" s="238" t="s">
        <v>3393</v>
      </c>
      <c r="K1163" s="236" t="s">
        <v>3394</v>
      </c>
    </row>
    <row r="1164" spans="10:11">
      <c r="J1164" s="238" t="s">
        <v>3395</v>
      </c>
      <c r="K1164" s="236" t="s">
        <v>2858</v>
      </c>
    </row>
    <row r="1165" spans="10:11">
      <c r="J1165" s="238" t="s">
        <v>3396</v>
      </c>
      <c r="K1165" s="236" t="s">
        <v>3397</v>
      </c>
    </row>
    <row r="1166" spans="10:11">
      <c r="J1166" s="238" t="s">
        <v>3398</v>
      </c>
      <c r="K1166" s="236" t="s">
        <v>3399</v>
      </c>
    </row>
    <row r="1167" spans="10:11">
      <c r="J1167" s="238" t="s">
        <v>3400</v>
      </c>
      <c r="K1167" s="236" t="s">
        <v>3401</v>
      </c>
    </row>
    <row r="1168" spans="10:11">
      <c r="J1168" s="238" t="s">
        <v>3402</v>
      </c>
      <c r="K1168" s="236" t="s">
        <v>3403</v>
      </c>
    </row>
    <row r="1169" spans="10:11">
      <c r="J1169" s="238" t="s">
        <v>3404</v>
      </c>
      <c r="K1169" s="236" t="s">
        <v>1742</v>
      </c>
    </row>
    <row r="1170" spans="10:11">
      <c r="J1170" s="238" t="s">
        <v>3405</v>
      </c>
      <c r="K1170" s="236" t="s">
        <v>2858</v>
      </c>
    </row>
    <row r="1171" spans="10:11">
      <c r="J1171" s="238" t="s">
        <v>3406</v>
      </c>
      <c r="K1171" s="236" t="s">
        <v>3407</v>
      </c>
    </row>
    <row r="1172" spans="10:11">
      <c r="J1172" s="238" t="s">
        <v>3408</v>
      </c>
      <c r="K1172" s="236" t="s">
        <v>3409</v>
      </c>
    </row>
    <row r="1173" spans="10:11">
      <c r="J1173" s="238" t="s">
        <v>3410</v>
      </c>
      <c r="K1173" s="236" t="s">
        <v>3411</v>
      </c>
    </row>
    <row r="1174" spans="10:11">
      <c r="J1174" s="238" t="s">
        <v>3412</v>
      </c>
      <c r="K1174" s="236" t="s">
        <v>3413</v>
      </c>
    </row>
    <row r="1175" spans="10:11">
      <c r="J1175" s="238" t="s">
        <v>3414</v>
      </c>
      <c r="K1175" s="236" t="s">
        <v>1758</v>
      </c>
    </row>
    <row r="1176" spans="10:11">
      <c r="J1176" s="238" t="s">
        <v>3415</v>
      </c>
      <c r="K1176" s="236" t="s">
        <v>3416</v>
      </c>
    </row>
    <row r="1177" spans="10:11">
      <c r="J1177" s="238" t="s">
        <v>3417</v>
      </c>
      <c r="K1177" s="236" t="s">
        <v>3418</v>
      </c>
    </row>
    <row r="1178" spans="10:11">
      <c r="J1178" s="238" t="s">
        <v>3419</v>
      </c>
      <c r="K1178" s="236" t="s">
        <v>1766</v>
      </c>
    </row>
    <row r="1179" spans="10:11">
      <c r="J1179" s="238" t="s">
        <v>3420</v>
      </c>
      <c r="K1179" s="236" t="s">
        <v>1770</v>
      </c>
    </row>
    <row r="1180" spans="10:11">
      <c r="J1180" s="238" t="s">
        <v>3421</v>
      </c>
      <c r="K1180" s="236" t="s">
        <v>3422</v>
      </c>
    </row>
    <row r="1181" spans="10:11">
      <c r="J1181" s="238" t="s">
        <v>3423</v>
      </c>
      <c r="K1181" s="236" t="s">
        <v>3424</v>
      </c>
    </row>
    <row r="1182" spans="10:11">
      <c r="J1182" s="238" t="s">
        <v>3425</v>
      </c>
      <c r="K1182" s="236" t="s">
        <v>3426</v>
      </c>
    </row>
    <row r="1183" spans="10:11">
      <c r="J1183" s="238" t="s">
        <v>3427</v>
      </c>
      <c r="K1183" s="236" t="s">
        <v>3428</v>
      </c>
    </row>
    <row r="1184" spans="10:11">
      <c r="J1184" s="238" t="s">
        <v>3429</v>
      </c>
      <c r="K1184" s="236" t="s">
        <v>3430</v>
      </c>
    </row>
    <row r="1185" spans="10:11">
      <c r="J1185" s="238" t="s">
        <v>3431</v>
      </c>
      <c r="K1185" s="236" t="s">
        <v>3432</v>
      </c>
    </row>
    <row r="1186" spans="10:11">
      <c r="J1186" s="238" t="s">
        <v>3433</v>
      </c>
      <c r="K1186" s="236" t="s">
        <v>3434</v>
      </c>
    </row>
    <row r="1187" spans="10:11">
      <c r="J1187" s="238" t="s">
        <v>3435</v>
      </c>
      <c r="K1187" s="236" t="s">
        <v>3436</v>
      </c>
    </row>
    <row r="1188" spans="10:11">
      <c r="J1188" s="238" t="s">
        <v>3437</v>
      </c>
      <c r="K1188" s="236" t="s">
        <v>3438</v>
      </c>
    </row>
    <row r="1189" spans="10:11">
      <c r="J1189" s="238" t="s">
        <v>3439</v>
      </c>
      <c r="K1189" s="236" t="s">
        <v>58</v>
      </c>
    </row>
    <row r="1190" spans="10:11">
      <c r="J1190" s="238" t="s">
        <v>3440</v>
      </c>
      <c r="K1190" s="236" t="s">
        <v>64</v>
      </c>
    </row>
    <row r="1191" spans="10:11">
      <c r="J1191" s="238" t="s">
        <v>3441</v>
      </c>
      <c r="K1191" s="236" t="s">
        <v>472</v>
      </c>
    </row>
    <row r="1192" spans="10:11">
      <c r="J1192" s="238" t="s">
        <v>3442</v>
      </c>
      <c r="K1192" s="236" t="s">
        <v>2858</v>
      </c>
    </row>
    <row r="1193" spans="10:11">
      <c r="J1193" s="238" t="s">
        <v>3443</v>
      </c>
      <c r="K1193" s="236" t="s">
        <v>1795</v>
      </c>
    </row>
    <row r="1194" spans="10:11">
      <c r="J1194" s="238" t="s">
        <v>3444</v>
      </c>
      <c r="K1194" s="236" t="s">
        <v>3445</v>
      </c>
    </row>
    <row r="1195" spans="10:11">
      <c r="J1195" s="238" t="s">
        <v>3446</v>
      </c>
      <c r="K1195" s="236" t="s">
        <v>3447</v>
      </c>
    </row>
    <row r="1196" spans="10:11">
      <c r="J1196" s="238" t="s">
        <v>3448</v>
      </c>
      <c r="K1196" s="236" t="s">
        <v>3449</v>
      </c>
    </row>
    <row r="1197" spans="10:11">
      <c r="J1197" s="238" t="s">
        <v>3450</v>
      </c>
      <c r="K1197" s="236" t="s">
        <v>1803</v>
      </c>
    </row>
    <row r="1198" spans="10:11">
      <c r="J1198" s="238" t="s">
        <v>3451</v>
      </c>
      <c r="K1198" s="236" t="s">
        <v>3452</v>
      </c>
    </row>
    <row r="1199" spans="10:11">
      <c r="J1199" s="238" t="s">
        <v>3453</v>
      </c>
      <c r="K1199" s="236" t="s">
        <v>3454</v>
      </c>
    </row>
    <row r="1200" spans="10:11">
      <c r="J1200" s="238" t="s">
        <v>3455</v>
      </c>
      <c r="K1200" s="236" t="s">
        <v>3456</v>
      </c>
    </row>
    <row r="1201" spans="10:11">
      <c r="J1201" s="238" t="s">
        <v>3457</v>
      </c>
      <c r="K1201" s="236" t="s">
        <v>3458</v>
      </c>
    </row>
    <row r="1202" spans="10:11">
      <c r="J1202" s="238" t="s">
        <v>3459</v>
      </c>
      <c r="K1202" s="236" t="s">
        <v>3460</v>
      </c>
    </row>
    <row r="1203" spans="10:11">
      <c r="J1203" s="238" t="s">
        <v>3461</v>
      </c>
      <c r="K1203" s="236" t="s">
        <v>3462</v>
      </c>
    </row>
    <row r="1204" spans="10:11">
      <c r="J1204" s="238" t="s">
        <v>3463</v>
      </c>
      <c r="K1204" s="236" t="s">
        <v>3464</v>
      </c>
    </row>
    <row r="1205" spans="10:11">
      <c r="J1205" s="238" t="s">
        <v>3465</v>
      </c>
      <c r="K1205" s="236" t="s">
        <v>1819</v>
      </c>
    </row>
    <row r="1206" spans="10:11">
      <c r="J1206" s="238" t="s">
        <v>3466</v>
      </c>
      <c r="K1206" s="236" t="s">
        <v>58</v>
      </c>
    </row>
    <row r="1207" spans="10:11">
      <c r="J1207" s="238" t="s">
        <v>3467</v>
      </c>
      <c r="K1207" s="236" t="s">
        <v>64</v>
      </c>
    </row>
    <row r="1208" spans="10:11">
      <c r="J1208" s="238" t="s">
        <v>3468</v>
      </c>
      <c r="K1208" s="236" t="s">
        <v>1827</v>
      </c>
    </row>
    <row r="1209" spans="10:11">
      <c r="J1209" s="238" t="s">
        <v>3469</v>
      </c>
      <c r="K1209" s="236" t="s">
        <v>1831</v>
      </c>
    </row>
    <row r="1210" spans="10:11">
      <c r="J1210" s="238" t="s">
        <v>3470</v>
      </c>
      <c r="K1210" s="236" t="s">
        <v>1834</v>
      </c>
    </row>
    <row r="1211" spans="10:11">
      <c r="J1211" s="238" t="s">
        <v>3471</v>
      </c>
      <c r="K1211" s="236" t="s">
        <v>3472</v>
      </c>
    </row>
    <row r="1212" spans="10:11">
      <c r="J1212" s="238" t="s">
        <v>3473</v>
      </c>
      <c r="K1212" s="236" t="s">
        <v>3474</v>
      </c>
    </row>
    <row r="1213" spans="10:11">
      <c r="J1213" s="238" t="s">
        <v>3475</v>
      </c>
      <c r="K1213" s="236" t="s">
        <v>3476</v>
      </c>
    </row>
    <row r="1214" spans="10:11">
      <c r="J1214" s="238" t="s">
        <v>3477</v>
      </c>
      <c r="K1214" s="236" t="s">
        <v>58</v>
      </c>
    </row>
    <row r="1215" spans="10:11">
      <c r="J1215" s="238" t="s">
        <v>3478</v>
      </c>
      <c r="K1215" s="236" t="s">
        <v>64</v>
      </c>
    </row>
    <row r="1216" spans="10:11">
      <c r="J1216" s="238" t="s">
        <v>3479</v>
      </c>
      <c r="K1216" s="236" t="s">
        <v>1843</v>
      </c>
    </row>
    <row r="1217" spans="10:11">
      <c r="J1217" s="238" t="s">
        <v>3480</v>
      </c>
      <c r="K1217" s="236" t="s">
        <v>3481</v>
      </c>
    </row>
    <row r="1218" spans="10:11">
      <c r="J1218" s="238" t="s">
        <v>3482</v>
      </c>
      <c r="K1218" s="236" t="s">
        <v>3483</v>
      </c>
    </row>
    <row r="1219" spans="10:11">
      <c r="J1219" s="238" t="s">
        <v>3484</v>
      </c>
      <c r="K1219" s="236" t="s">
        <v>3485</v>
      </c>
    </row>
    <row r="1220" spans="10:11">
      <c r="J1220" s="238" t="s">
        <v>3486</v>
      </c>
      <c r="K1220" s="236" t="s">
        <v>3487</v>
      </c>
    </row>
    <row r="1221" spans="10:11">
      <c r="J1221" s="238" t="s">
        <v>3488</v>
      </c>
      <c r="K1221" s="236" t="s">
        <v>3489</v>
      </c>
    </row>
    <row r="1222" spans="10:11">
      <c r="J1222" s="238" t="s">
        <v>3490</v>
      </c>
      <c r="K1222" s="236" t="s">
        <v>3491</v>
      </c>
    </row>
    <row r="1223" spans="10:11">
      <c r="J1223" s="238" t="s">
        <v>3492</v>
      </c>
      <c r="K1223" s="236" t="s">
        <v>1849</v>
      </c>
    </row>
    <row r="1224" spans="10:11">
      <c r="J1224" s="238" t="s">
        <v>3493</v>
      </c>
      <c r="K1224" s="236" t="s">
        <v>1852</v>
      </c>
    </row>
    <row r="1225" spans="10:11">
      <c r="J1225" s="238" t="s">
        <v>3494</v>
      </c>
      <c r="K1225" s="236" t="s">
        <v>1855</v>
      </c>
    </row>
    <row r="1226" spans="10:11">
      <c r="J1226" s="238" t="s">
        <v>3495</v>
      </c>
      <c r="K1226" s="236" t="s">
        <v>1859</v>
      </c>
    </row>
    <row r="1227" spans="10:11">
      <c r="J1227" s="238" t="s">
        <v>3496</v>
      </c>
      <c r="K1227" s="236" t="s">
        <v>1863</v>
      </c>
    </row>
    <row r="1228" spans="10:11">
      <c r="J1228" s="238" t="s">
        <v>3497</v>
      </c>
      <c r="K1228" s="236" t="s">
        <v>3498</v>
      </c>
    </row>
    <row r="1229" spans="10:11">
      <c r="J1229" s="238" t="s">
        <v>3499</v>
      </c>
      <c r="K1229" s="236" t="s">
        <v>3500</v>
      </c>
    </row>
    <row r="1230" spans="10:11">
      <c r="J1230" s="238" t="s">
        <v>3501</v>
      </c>
      <c r="K1230" s="236" t="s">
        <v>3502</v>
      </c>
    </row>
    <row r="1231" spans="10:11">
      <c r="J1231" s="238" t="s">
        <v>3503</v>
      </c>
      <c r="K1231" s="236" t="s">
        <v>58</v>
      </c>
    </row>
    <row r="1232" spans="10:11">
      <c r="J1232" s="238" t="s">
        <v>3504</v>
      </c>
      <c r="K1232" s="236" t="s">
        <v>64</v>
      </c>
    </row>
    <row r="1233" spans="10:11">
      <c r="J1233" s="238" t="s">
        <v>3505</v>
      </c>
      <c r="K1233" s="236" t="s">
        <v>1872</v>
      </c>
    </row>
    <row r="1234" spans="10:11">
      <c r="J1234" s="238" t="s">
        <v>3506</v>
      </c>
      <c r="K1234" s="236" t="s">
        <v>1875</v>
      </c>
    </row>
    <row r="1235" spans="10:11">
      <c r="J1235" s="238" t="s">
        <v>3507</v>
      </c>
      <c r="K1235" s="236" t="s">
        <v>58</v>
      </c>
    </row>
    <row r="1236" spans="10:11">
      <c r="J1236" s="238" t="s">
        <v>3508</v>
      </c>
      <c r="K1236" s="236" t="s">
        <v>64</v>
      </c>
    </row>
    <row r="1237" spans="10:11">
      <c r="J1237" s="238" t="s">
        <v>3509</v>
      </c>
      <c r="K1237" s="236" t="s">
        <v>3510</v>
      </c>
    </row>
    <row r="1238" spans="10:11">
      <c r="J1238" s="238" t="s">
        <v>3511</v>
      </c>
      <c r="K1238" s="236" t="s">
        <v>3512</v>
      </c>
    </row>
    <row r="1239" spans="10:11">
      <c r="J1239" s="238" t="s">
        <v>3513</v>
      </c>
      <c r="K1239" s="236" t="s">
        <v>3514</v>
      </c>
    </row>
    <row r="1240" spans="10:11">
      <c r="J1240" s="238" t="s">
        <v>3515</v>
      </c>
      <c r="K1240" s="236" t="s">
        <v>1887</v>
      </c>
    </row>
    <row r="1241" spans="10:11">
      <c r="J1241" s="238" t="s">
        <v>3516</v>
      </c>
      <c r="K1241" s="236" t="s">
        <v>1891</v>
      </c>
    </row>
    <row r="1242" spans="10:11">
      <c r="J1242" s="238" t="s">
        <v>3517</v>
      </c>
      <c r="K1242" s="236" t="s">
        <v>1895</v>
      </c>
    </row>
    <row r="1243" spans="10:11">
      <c r="J1243" s="238" t="s">
        <v>3518</v>
      </c>
      <c r="K1243" s="236" t="s">
        <v>1899</v>
      </c>
    </row>
    <row r="1244" spans="10:11">
      <c r="J1244" s="238" t="s">
        <v>3519</v>
      </c>
      <c r="K1244" s="236" t="s">
        <v>3520</v>
      </c>
    </row>
    <row r="1245" spans="10:11">
      <c r="J1245" s="238" t="s">
        <v>3521</v>
      </c>
      <c r="K1245" s="236" t="s">
        <v>3522</v>
      </c>
    </row>
    <row r="1246" spans="10:11">
      <c r="J1246" s="238" t="s">
        <v>3523</v>
      </c>
      <c r="K1246" s="236" t="s">
        <v>3524</v>
      </c>
    </row>
    <row r="1247" spans="10:11">
      <c r="J1247" s="238" t="s">
        <v>3525</v>
      </c>
      <c r="K1247" s="236" t="s">
        <v>3526</v>
      </c>
    </row>
    <row r="1248" spans="10:11">
      <c r="J1248" s="238" t="s">
        <v>3527</v>
      </c>
      <c r="K1248" s="236" t="s">
        <v>3528</v>
      </c>
    </row>
    <row r="1249" spans="10:11">
      <c r="J1249" s="238" t="s">
        <v>3529</v>
      </c>
      <c r="K1249" s="236" t="s">
        <v>58</v>
      </c>
    </row>
    <row r="1250" spans="10:11">
      <c r="J1250" s="238" t="s">
        <v>3530</v>
      </c>
      <c r="K1250" s="236" t="s">
        <v>64</v>
      </c>
    </row>
    <row r="1251" spans="10:11">
      <c r="J1251" s="238" t="s">
        <v>3531</v>
      </c>
      <c r="K1251" s="236" t="s">
        <v>3532</v>
      </c>
    </row>
    <row r="1252" spans="10:11">
      <c r="J1252" s="238" t="s">
        <v>3533</v>
      </c>
      <c r="K1252" s="236" t="s">
        <v>3534</v>
      </c>
    </row>
    <row r="1253" spans="10:11">
      <c r="J1253" s="238" t="s">
        <v>3535</v>
      </c>
      <c r="K1253" s="236" t="s">
        <v>3536</v>
      </c>
    </row>
    <row r="1254" spans="10:11">
      <c r="J1254" s="238" t="s">
        <v>3537</v>
      </c>
      <c r="K1254" s="236" t="s">
        <v>3538</v>
      </c>
    </row>
    <row r="1255" spans="10:11">
      <c r="J1255" s="238" t="s">
        <v>3539</v>
      </c>
      <c r="K1255" s="236" t="s">
        <v>1919</v>
      </c>
    </row>
    <row r="1256" spans="10:11">
      <c r="J1256" s="238" t="s">
        <v>3540</v>
      </c>
      <c r="K1256" s="236" t="s">
        <v>1923</v>
      </c>
    </row>
    <row r="1257" spans="10:11">
      <c r="J1257" s="238" t="s">
        <v>3541</v>
      </c>
      <c r="K1257" s="236" t="s">
        <v>3542</v>
      </c>
    </row>
    <row r="1258" spans="10:11">
      <c r="J1258" s="238" t="s">
        <v>3543</v>
      </c>
      <c r="K1258" s="236" t="s">
        <v>3544</v>
      </c>
    </row>
    <row r="1259" spans="10:11">
      <c r="J1259" s="238" t="s">
        <v>3545</v>
      </c>
      <c r="K1259" s="236" t="s">
        <v>3546</v>
      </c>
    </row>
    <row r="1260" spans="10:11">
      <c r="J1260" s="238" t="s">
        <v>3547</v>
      </c>
      <c r="K1260" s="236" t="s">
        <v>3548</v>
      </c>
    </row>
    <row r="1261" spans="10:11">
      <c r="J1261" s="238" t="s">
        <v>3549</v>
      </c>
      <c r="K1261" s="236" t="s">
        <v>3550</v>
      </c>
    </row>
    <row r="1262" spans="10:11">
      <c r="J1262" s="238" t="s">
        <v>3551</v>
      </c>
      <c r="K1262" s="236" t="s">
        <v>3552</v>
      </c>
    </row>
    <row r="1263" spans="10:11">
      <c r="J1263" s="238" t="s">
        <v>3553</v>
      </c>
      <c r="K1263" s="236" t="s">
        <v>3554</v>
      </c>
    </row>
    <row r="1264" spans="10:11">
      <c r="J1264" s="238" t="s">
        <v>3555</v>
      </c>
      <c r="K1264" s="236" t="s">
        <v>3556</v>
      </c>
    </row>
    <row r="1265" spans="10:11">
      <c r="J1265" s="238" t="s">
        <v>3557</v>
      </c>
      <c r="K1265" s="236" t="s">
        <v>3558</v>
      </c>
    </row>
    <row r="1266" spans="10:11">
      <c r="J1266" s="238" t="s">
        <v>3559</v>
      </c>
      <c r="K1266" s="236" t="s">
        <v>58</v>
      </c>
    </row>
    <row r="1267" spans="10:11">
      <c r="J1267" s="238" t="s">
        <v>3560</v>
      </c>
      <c r="K1267" s="236" t="s">
        <v>64</v>
      </c>
    </row>
    <row r="1268" spans="10:11">
      <c r="J1268" s="238" t="s">
        <v>3561</v>
      </c>
      <c r="K1268" s="236" t="s">
        <v>1943</v>
      </c>
    </row>
    <row r="1269" spans="10:11">
      <c r="J1269" s="238" t="s">
        <v>3562</v>
      </c>
      <c r="K1269" s="236" t="s">
        <v>3563</v>
      </c>
    </row>
    <row r="1270" spans="10:11">
      <c r="J1270" s="238" t="s">
        <v>3564</v>
      </c>
      <c r="K1270" s="236" t="s">
        <v>3565</v>
      </c>
    </row>
    <row r="1271" spans="10:11">
      <c r="J1271" s="238" t="s">
        <v>3566</v>
      </c>
      <c r="K1271" s="236" t="s">
        <v>3567</v>
      </c>
    </row>
    <row r="1272" spans="10:11">
      <c r="J1272" s="238" t="s">
        <v>3568</v>
      </c>
      <c r="K1272" s="236" t="s">
        <v>3569</v>
      </c>
    </row>
    <row r="1273" spans="10:11">
      <c r="J1273" s="238" t="s">
        <v>3570</v>
      </c>
      <c r="K1273" s="236" t="s">
        <v>3571</v>
      </c>
    </row>
    <row r="1274" spans="10:11">
      <c r="J1274" s="238" t="s">
        <v>3572</v>
      </c>
      <c r="K1274" s="236" t="s">
        <v>3573</v>
      </c>
    </row>
    <row r="1275" spans="10:11">
      <c r="J1275" s="238" t="s">
        <v>3574</v>
      </c>
      <c r="K1275" s="236" t="s">
        <v>3575</v>
      </c>
    </row>
    <row r="1276" spans="10:11">
      <c r="J1276" s="238" t="s">
        <v>3576</v>
      </c>
      <c r="K1276" s="236" t="s">
        <v>3577</v>
      </c>
    </row>
    <row r="1277" spans="10:11">
      <c r="J1277" s="238" t="s">
        <v>3578</v>
      </c>
      <c r="K1277" s="236" t="s">
        <v>3579</v>
      </c>
    </row>
    <row r="1278" spans="10:11">
      <c r="J1278" s="238" t="s">
        <v>3580</v>
      </c>
      <c r="K1278" s="236" t="s">
        <v>3581</v>
      </c>
    </row>
    <row r="1279" spans="10:11">
      <c r="J1279" s="238" t="s">
        <v>3582</v>
      </c>
      <c r="K1279" s="236" t="s">
        <v>3583</v>
      </c>
    </row>
    <row r="1280" spans="10:11">
      <c r="J1280" s="238" t="s">
        <v>3584</v>
      </c>
      <c r="K1280" s="236" t="s">
        <v>3585</v>
      </c>
    </row>
    <row r="1281" spans="10:11">
      <c r="J1281" s="238" t="s">
        <v>3586</v>
      </c>
      <c r="K1281" s="236" t="s">
        <v>3587</v>
      </c>
    </row>
    <row r="1282" spans="10:11">
      <c r="J1282" s="238" t="s">
        <v>3588</v>
      </c>
      <c r="K1282" s="236" t="s">
        <v>3589</v>
      </c>
    </row>
    <row r="1283" spans="10:11">
      <c r="J1283" s="238" t="s">
        <v>3590</v>
      </c>
      <c r="K1283" s="236" t="s">
        <v>3591</v>
      </c>
    </row>
    <row r="1284" spans="10:11">
      <c r="J1284" s="238" t="s">
        <v>3592</v>
      </c>
      <c r="K1284" s="236" t="s">
        <v>3593</v>
      </c>
    </row>
    <row r="1285" spans="10:11">
      <c r="J1285" s="238" t="s">
        <v>3594</v>
      </c>
      <c r="K1285" s="236" t="s">
        <v>3595</v>
      </c>
    </row>
    <row r="1286" spans="10:11">
      <c r="J1286" s="238" t="s">
        <v>3596</v>
      </c>
      <c r="K1286" s="236" t="s">
        <v>3597</v>
      </c>
    </row>
    <row r="1287" spans="10:11">
      <c r="J1287" s="238" t="s">
        <v>3598</v>
      </c>
      <c r="K1287" s="236" t="s">
        <v>3599</v>
      </c>
    </row>
    <row r="1288" spans="10:11">
      <c r="J1288" s="238" t="s">
        <v>3600</v>
      </c>
      <c r="K1288" s="236" t="s">
        <v>3601</v>
      </c>
    </row>
    <row r="1289" spans="10:11">
      <c r="J1289" s="238" t="s">
        <v>3602</v>
      </c>
      <c r="K1289" s="236" t="s">
        <v>3603</v>
      </c>
    </row>
    <row r="1290" spans="10:11">
      <c r="J1290" s="238" t="s">
        <v>3604</v>
      </c>
      <c r="K1290" s="236" t="s">
        <v>3605</v>
      </c>
    </row>
    <row r="1291" spans="10:11">
      <c r="J1291" s="238" t="s">
        <v>3606</v>
      </c>
      <c r="K1291" s="236" t="s">
        <v>3607</v>
      </c>
    </row>
    <row r="1292" spans="10:11">
      <c r="J1292" s="238" t="s">
        <v>3608</v>
      </c>
      <c r="K1292" s="236" t="s">
        <v>3609</v>
      </c>
    </row>
    <row r="1293" spans="10:11">
      <c r="J1293" s="238" t="s">
        <v>3610</v>
      </c>
      <c r="K1293" s="236" t="s">
        <v>3611</v>
      </c>
    </row>
    <row r="1294" spans="10:11">
      <c r="J1294" s="238" t="s">
        <v>3612</v>
      </c>
      <c r="K1294" s="236" t="s">
        <v>3613</v>
      </c>
    </row>
    <row r="1295" spans="10:11">
      <c r="J1295" s="238" t="s">
        <v>3614</v>
      </c>
      <c r="K1295" s="236" t="s">
        <v>3615</v>
      </c>
    </row>
    <row r="1296" spans="10:11">
      <c r="J1296" s="238" t="s">
        <v>3616</v>
      </c>
      <c r="K1296" s="236" t="s">
        <v>3617</v>
      </c>
    </row>
    <row r="1297" spans="10:11">
      <c r="J1297" s="238" t="s">
        <v>3618</v>
      </c>
      <c r="K1297" s="236" t="s">
        <v>3619</v>
      </c>
    </row>
    <row r="1298" spans="10:11">
      <c r="J1298" s="238" t="s">
        <v>3620</v>
      </c>
      <c r="K1298" s="236" t="s">
        <v>3621</v>
      </c>
    </row>
    <row r="1299" spans="10:11">
      <c r="J1299" s="238" t="s">
        <v>3622</v>
      </c>
      <c r="K1299" s="236" t="s">
        <v>3623</v>
      </c>
    </row>
    <row r="1300" spans="10:11">
      <c r="J1300" s="238" t="s">
        <v>3624</v>
      </c>
      <c r="K1300" s="236" t="s">
        <v>3625</v>
      </c>
    </row>
    <row r="1301" spans="10:11">
      <c r="J1301" s="238" t="s">
        <v>3626</v>
      </c>
      <c r="K1301" s="236" t="s">
        <v>3627</v>
      </c>
    </row>
    <row r="1302" spans="10:11">
      <c r="J1302" s="238" t="s">
        <v>3628</v>
      </c>
      <c r="K1302" s="236" t="s">
        <v>3629</v>
      </c>
    </row>
    <row r="1303" spans="10:11">
      <c r="J1303" s="238" t="s">
        <v>3630</v>
      </c>
      <c r="K1303" s="236" t="s">
        <v>3631</v>
      </c>
    </row>
    <row r="1304" spans="10:11">
      <c r="J1304" s="238" t="s">
        <v>3632</v>
      </c>
      <c r="K1304" s="236" t="s">
        <v>2858</v>
      </c>
    </row>
    <row r="1305" spans="10:11">
      <c r="J1305" s="238" t="s">
        <v>3633</v>
      </c>
      <c r="K1305" s="236" t="s">
        <v>1975</v>
      </c>
    </row>
    <row r="1306" spans="10:11">
      <c r="J1306" s="238" t="s">
        <v>3634</v>
      </c>
      <c r="K1306" s="236" t="s">
        <v>1979</v>
      </c>
    </row>
    <row r="1307" spans="10:11">
      <c r="J1307" s="238" t="s">
        <v>3635</v>
      </c>
      <c r="K1307" s="236" t="s">
        <v>1983</v>
      </c>
    </row>
    <row r="1308" spans="10:11">
      <c r="J1308" s="238" t="s">
        <v>3636</v>
      </c>
      <c r="K1308" s="236" t="s">
        <v>3637</v>
      </c>
    </row>
    <row r="1309" spans="10:11">
      <c r="J1309" s="238" t="s">
        <v>3638</v>
      </c>
      <c r="K1309" s="236" t="s">
        <v>3639</v>
      </c>
    </row>
    <row r="1310" spans="10:11">
      <c r="J1310" s="238" t="s">
        <v>3640</v>
      </c>
      <c r="K1310" s="236" t="s">
        <v>1991</v>
      </c>
    </row>
    <row r="1311" spans="10:11">
      <c r="J1311" s="238" t="s">
        <v>3641</v>
      </c>
      <c r="K1311" s="236" t="s">
        <v>3642</v>
      </c>
    </row>
    <row r="1312" spans="10:11">
      <c r="J1312" s="238" t="s">
        <v>3643</v>
      </c>
      <c r="K1312" s="236" t="s">
        <v>3644</v>
      </c>
    </row>
    <row r="1313" spans="10:11">
      <c r="J1313" s="238" t="s">
        <v>3645</v>
      </c>
      <c r="K1313" s="236" t="s">
        <v>3646</v>
      </c>
    </row>
    <row r="1314" spans="10:11">
      <c r="J1314" s="238" t="s">
        <v>3647</v>
      </c>
      <c r="K1314" s="236" t="s">
        <v>3648</v>
      </c>
    </row>
    <row r="1315" spans="10:11">
      <c r="J1315" s="238" t="s">
        <v>3649</v>
      </c>
      <c r="K1315" s="236" t="s">
        <v>3650</v>
      </c>
    </row>
    <row r="1316" spans="10:11">
      <c r="J1316" s="238" t="s">
        <v>3651</v>
      </c>
      <c r="K1316" s="236" t="s">
        <v>2003</v>
      </c>
    </row>
    <row r="1317" spans="10:11">
      <c r="J1317" s="238" t="s">
        <v>3652</v>
      </c>
      <c r="K1317" s="236" t="s">
        <v>3653</v>
      </c>
    </row>
    <row r="1318" spans="10:11">
      <c r="J1318" s="238" t="s">
        <v>3654</v>
      </c>
      <c r="K1318" s="236" t="s">
        <v>58</v>
      </c>
    </row>
    <row r="1319" spans="10:11">
      <c r="J1319" s="238" t="s">
        <v>3655</v>
      </c>
      <c r="K1319" s="236" t="s">
        <v>64</v>
      </c>
    </row>
    <row r="1320" spans="10:11">
      <c r="J1320" s="238" t="s">
        <v>3656</v>
      </c>
      <c r="K1320" s="236" t="s">
        <v>3657</v>
      </c>
    </row>
    <row r="1321" spans="10:11">
      <c r="J1321" s="238" t="s">
        <v>3658</v>
      </c>
      <c r="K1321" s="236" t="s">
        <v>3659</v>
      </c>
    </row>
    <row r="1322" spans="10:11">
      <c r="J1322" s="238" t="s">
        <v>3660</v>
      </c>
      <c r="K1322" s="236" t="s">
        <v>3661</v>
      </c>
    </row>
    <row r="1323" spans="10:11">
      <c r="J1323" s="238" t="s">
        <v>3662</v>
      </c>
      <c r="K1323" s="236" t="s">
        <v>3663</v>
      </c>
    </row>
    <row r="1324" spans="10:11">
      <c r="J1324" s="238" t="s">
        <v>3664</v>
      </c>
      <c r="K1324" s="236" t="s">
        <v>3665</v>
      </c>
    </row>
    <row r="1325" spans="10:11">
      <c r="J1325" s="238" t="s">
        <v>3666</v>
      </c>
      <c r="K1325" s="236" t="s">
        <v>3667</v>
      </c>
    </row>
    <row r="1326" spans="10:11">
      <c r="J1326" s="238" t="s">
        <v>3668</v>
      </c>
      <c r="K1326" s="236" t="s">
        <v>3669</v>
      </c>
    </row>
    <row r="1327" spans="10:11">
      <c r="J1327" s="238" t="s">
        <v>3670</v>
      </c>
      <c r="K1327" s="236" t="s">
        <v>3671</v>
      </c>
    </row>
    <row r="1328" spans="10:11">
      <c r="J1328" s="238" t="s">
        <v>3672</v>
      </c>
      <c r="K1328" s="236" t="s">
        <v>3673</v>
      </c>
    </row>
    <row r="1329" spans="10:11">
      <c r="J1329" s="238" t="s">
        <v>3674</v>
      </c>
      <c r="K1329" s="236" t="s">
        <v>3675</v>
      </c>
    </row>
    <row r="1330" spans="10:11">
      <c r="J1330" s="238" t="s">
        <v>3676</v>
      </c>
      <c r="K1330" s="236" t="s">
        <v>2023</v>
      </c>
    </row>
    <row r="1331" spans="10:11">
      <c r="J1331" s="238" t="s">
        <v>3677</v>
      </c>
      <c r="K1331" s="236" t="s">
        <v>3678</v>
      </c>
    </row>
    <row r="1332" spans="10:11">
      <c r="J1332" s="238" t="s">
        <v>3679</v>
      </c>
      <c r="K1332" s="236" t="s">
        <v>3680</v>
      </c>
    </row>
    <row r="1333" spans="10:11">
      <c r="J1333" s="238" t="s">
        <v>3681</v>
      </c>
      <c r="K1333" s="236" t="s">
        <v>3682</v>
      </c>
    </row>
    <row r="1334" spans="10:11">
      <c r="J1334" s="238" t="s">
        <v>3683</v>
      </c>
      <c r="K1334" s="236" t="s">
        <v>3684</v>
      </c>
    </row>
    <row r="1335" spans="10:11">
      <c r="J1335" s="238" t="s">
        <v>3685</v>
      </c>
      <c r="K1335" s="236" t="s">
        <v>3686</v>
      </c>
    </row>
    <row r="1336" spans="10:11">
      <c r="J1336" s="238" t="s">
        <v>3687</v>
      </c>
      <c r="K1336" s="236" t="s">
        <v>3688</v>
      </c>
    </row>
    <row r="1337" spans="10:11">
      <c r="J1337" s="238" t="s">
        <v>3689</v>
      </c>
      <c r="K1337" s="236" t="s">
        <v>3690</v>
      </c>
    </row>
    <row r="1338" spans="10:11">
      <c r="J1338" s="238" t="s">
        <v>3691</v>
      </c>
      <c r="K1338" s="236" t="s">
        <v>2031</v>
      </c>
    </row>
    <row r="1339" spans="10:11">
      <c r="J1339" s="238" t="s">
        <v>3692</v>
      </c>
      <c r="K1339" s="236" t="s">
        <v>58</v>
      </c>
    </row>
    <row r="1340" spans="10:11">
      <c r="J1340" s="238" t="s">
        <v>3693</v>
      </c>
      <c r="K1340" s="236" t="s">
        <v>64</v>
      </c>
    </row>
    <row r="1341" spans="10:11">
      <c r="J1341" s="238" t="s">
        <v>3694</v>
      </c>
      <c r="K1341" s="236" t="s">
        <v>3695</v>
      </c>
    </row>
    <row r="1342" spans="10:11">
      <c r="J1342" s="238" t="s">
        <v>3696</v>
      </c>
      <c r="K1342" s="236" t="s">
        <v>3697</v>
      </c>
    </row>
    <row r="1343" spans="10:11">
      <c r="J1343" s="238" t="s">
        <v>3698</v>
      </c>
      <c r="K1343" s="236" t="s">
        <v>3699</v>
      </c>
    </row>
    <row r="1344" spans="10:11">
      <c r="J1344" s="238" t="s">
        <v>3700</v>
      </c>
      <c r="K1344" s="236" t="s">
        <v>3701</v>
      </c>
    </row>
    <row r="1345" spans="10:11">
      <c r="J1345" s="238" t="s">
        <v>3702</v>
      </c>
      <c r="K1345" s="236" t="s">
        <v>2047</v>
      </c>
    </row>
    <row r="1346" spans="10:11">
      <c r="J1346" s="238" t="s">
        <v>3703</v>
      </c>
      <c r="K1346" s="236" t="s">
        <v>3704</v>
      </c>
    </row>
    <row r="1347" spans="10:11">
      <c r="J1347" s="238" t="s">
        <v>3705</v>
      </c>
      <c r="K1347" s="236" t="s">
        <v>3706</v>
      </c>
    </row>
    <row r="1348" spans="10:11">
      <c r="J1348" s="238" t="s">
        <v>3707</v>
      </c>
      <c r="K1348" s="236" t="s">
        <v>3708</v>
      </c>
    </row>
    <row r="1349" spans="10:11">
      <c r="J1349" s="238" t="s">
        <v>3709</v>
      </c>
      <c r="K1349" s="236" t="s">
        <v>3710</v>
      </c>
    </row>
    <row r="1350" spans="10:11">
      <c r="J1350" s="238" t="s">
        <v>3711</v>
      </c>
      <c r="K1350" s="236" t="s">
        <v>3712</v>
      </c>
    </row>
    <row r="1351" spans="10:11">
      <c r="J1351" s="238" t="s">
        <v>3713</v>
      </c>
      <c r="K1351" s="236" t="s">
        <v>3714</v>
      </c>
    </row>
    <row r="1352" spans="10:11">
      <c r="J1352" s="238" t="s">
        <v>3715</v>
      </c>
      <c r="K1352" s="236" t="s">
        <v>58</v>
      </c>
    </row>
    <row r="1353" spans="10:11">
      <c r="J1353" s="238" t="s">
        <v>3716</v>
      </c>
      <c r="K1353" s="236" t="s">
        <v>64</v>
      </c>
    </row>
    <row r="1354" spans="10:11">
      <c r="J1354" s="238" t="s">
        <v>3717</v>
      </c>
      <c r="K1354" s="236" t="s">
        <v>2065</v>
      </c>
    </row>
    <row r="1355" spans="10:11">
      <c r="J1355" s="238" t="s">
        <v>3718</v>
      </c>
      <c r="K1355" s="236" t="s">
        <v>3719</v>
      </c>
    </row>
    <row r="1356" spans="10:11">
      <c r="J1356" s="238" t="s">
        <v>3720</v>
      </c>
      <c r="K1356" s="236" t="s">
        <v>3721</v>
      </c>
    </row>
    <row r="1357" spans="10:11">
      <c r="J1357" s="238" t="s">
        <v>3722</v>
      </c>
      <c r="K1357" s="236" t="s">
        <v>3723</v>
      </c>
    </row>
    <row r="1358" spans="10:11">
      <c r="J1358" s="238" t="s">
        <v>3724</v>
      </c>
      <c r="K1358" s="236" t="s">
        <v>3725</v>
      </c>
    </row>
    <row r="1359" spans="10:11">
      <c r="J1359" s="238" t="s">
        <v>3726</v>
      </c>
      <c r="K1359" s="236" t="s">
        <v>3727</v>
      </c>
    </row>
    <row r="1360" spans="10:11">
      <c r="J1360" s="238" t="s">
        <v>3728</v>
      </c>
      <c r="K1360" s="236" t="s">
        <v>3729</v>
      </c>
    </row>
    <row r="1361" spans="10:11">
      <c r="J1361" s="238" t="s">
        <v>3730</v>
      </c>
      <c r="K1361" s="236" t="s">
        <v>3731</v>
      </c>
    </row>
    <row r="1362" spans="10:11">
      <c r="J1362" s="238" t="s">
        <v>3732</v>
      </c>
      <c r="K1362" s="236" t="s">
        <v>3733</v>
      </c>
    </row>
    <row r="1363" spans="10:11">
      <c r="J1363" s="238" t="s">
        <v>3734</v>
      </c>
      <c r="K1363" s="236" t="s">
        <v>58</v>
      </c>
    </row>
    <row r="1364" spans="10:11">
      <c r="J1364" s="238" t="s">
        <v>3735</v>
      </c>
      <c r="K1364" s="236" t="s">
        <v>64</v>
      </c>
    </row>
    <row r="1365" spans="10:11">
      <c r="J1365" s="238" t="s">
        <v>3736</v>
      </c>
      <c r="K1365" s="236" t="s">
        <v>2080</v>
      </c>
    </row>
    <row r="1366" spans="10:11">
      <c r="J1366" s="238" t="s">
        <v>3737</v>
      </c>
      <c r="K1366" s="236" t="s">
        <v>2084</v>
      </c>
    </row>
    <row r="1367" spans="10:11">
      <c r="J1367" s="238" t="s">
        <v>3738</v>
      </c>
      <c r="K1367" s="236" t="s">
        <v>3739</v>
      </c>
    </row>
    <row r="1368" spans="10:11">
      <c r="J1368" s="238" t="s">
        <v>3740</v>
      </c>
      <c r="K1368" s="236" t="s">
        <v>3741</v>
      </c>
    </row>
    <row r="1369" spans="10:11">
      <c r="J1369" s="238" t="s">
        <v>3742</v>
      </c>
      <c r="K1369" s="236" t="s">
        <v>3743</v>
      </c>
    </row>
    <row r="1370" spans="10:11">
      <c r="J1370" s="238" t="s">
        <v>3744</v>
      </c>
      <c r="K1370" s="236" t="s">
        <v>3745</v>
      </c>
    </row>
    <row r="1371" spans="10:11">
      <c r="J1371" s="238" t="s">
        <v>3746</v>
      </c>
      <c r="K1371" s="236" t="s">
        <v>3747</v>
      </c>
    </row>
    <row r="1372" spans="10:11">
      <c r="J1372" s="238" t="s">
        <v>3748</v>
      </c>
      <c r="K1372" s="236" t="s">
        <v>3749</v>
      </c>
    </row>
    <row r="1373" spans="10:11">
      <c r="J1373" s="238" t="s">
        <v>3750</v>
      </c>
      <c r="K1373" s="236" t="s">
        <v>3751</v>
      </c>
    </row>
    <row r="1374" spans="10:11">
      <c r="J1374" s="238" t="s">
        <v>3752</v>
      </c>
      <c r="K1374" s="236" t="s">
        <v>3753</v>
      </c>
    </row>
    <row r="1375" spans="10:11">
      <c r="J1375" s="238" t="s">
        <v>3754</v>
      </c>
      <c r="K1375" s="236" t="s">
        <v>3755</v>
      </c>
    </row>
    <row r="1376" spans="10:11">
      <c r="J1376" s="238" t="s">
        <v>3756</v>
      </c>
      <c r="K1376" s="236" t="s">
        <v>3757</v>
      </c>
    </row>
    <row r="1377" spans="10:11">
      <c r="J1377" s="238" t="s">
        <v>3758</v>
      </c>
      <c r="K1377" s="236" t="s">
        <v>3759</v>
      </c>
    </row>
    <row r="1378" spans="10:11">
      <c r="J1378" s="238" t="s">
        <v>3760</v>
      </c>
      <c r="K1378" s="236" t="s">
        <v>3761</v>
      </c>
    </row>
    <row r="1379" spans="10:11">
      <c r="J1379" s="238" t="s">
        <v>3762</v>
      </c>
      <c r="K1379" s="236" t="s">
        <v>3763</v>
      </c>
    </row>
    <row r="1380" spans="10:11">
      <c r="J1380" s="238" t="s">
        <v>3764</v>
      </c>
      <c r="K1380" s="236" t="s">
        <v>2858</v>
      </c>
    </row>
    <row r="1381" spans="10:11">
      <c r="J1381" s="238" t="s">
        <v>3765</v>
      </c>
      <c r="K1381" s="236" t="s">
        <v>550</v>
      </c>
    </row>
    <row r="1382" spans="10:11">
      <c r="J1382" s="238" t="s">
        <v>3766</v>
      </c>
      <c r="K1382" s="236" t="s">
        <v>3767</v>
      </c>
    </row>
    <row r="1383" spans="10:11">
      <c r="J1383" s="238" t="s">
        <v>3768</v>
      </c>
      <c r="K1383" s="236" t="s">
        <v>3769</v>
      </c>
    </row>
    <row r="1384" spans="10:11">
      <c r="J1384" s="238" t="s">
        <v>3770</v>
      </c>
      <c r="K1384" s="236" t="s">
        <v>2858</v>
      </c>
    </row>
    <row r="1385" spans="10:11">
      <c r="J1385" s="238" t="s">
        <v>3771</v>
      </c>
      <c r="K1385" s="236" t="s">
        <v>3772</v>
      </c>
    </row>
    <row r="1386" spans="10:11">
      <c r="J1386" s="238" t="s">
        <v>3773</v>
      </c>
      <c r="K1386" s="236" t="s">
        <v>3774</v>
      </c>
    </row>
    <row r="1387" spans="10:11">
      <c r="J1387" s="238" t="s">
        <v>3775</v>
      </c>
      <c r="K1387" s="236" t="s">
        <v>3776</v>
      </c>
    </row>
    <row r="1388" spans="10:11">
      <c r="J1388" s="238" t="s">
        <v>3777</v>
      </c>
      <c r="K1388" s="236" t="s">
        <v>3778</v>
      </c>
    </row>
    <row r="1389" spans="10:11">
      <c r="J1389" s="238" t="s">
        <v>3779</v>
      </c>
      <c r="K1389" s="236" t="s">
        <v>2123</v>
      </c>
    </row>
    <row r="1390" spans="10:11">
      <c r="J1390" s="238" t="s">
        <v>3780</v>
      </c>
      <c r="K1390" s="236" t="s">
        <v>58</v>
      </c>
    </row>
    <row r="1391" spans="10:11">
      <c r="J1391" s="238" t="s">
        <v>3781</v>
      </c>
      <c r="K1391" s="236" t="s">
        <v>64</v>
      </c>
    </row>
    <row r="1392" spans="10:11">
      <c r="J1392" s="238" t="s">
        <v>3782</v>
      </c>
      <c r="K1392" s="236" t="s">
        <v>3783</v>
      </c>
    </row>
    <row r="1393" spans="10:11">
      <c r="J1393" s="238" t="s">
        <v>3784</v>
      </c>
      <c r="K1393" s="236" t="s">
        <v>3785</v>
      </c>
    </row>
    <row r="1394" spans="10:11">
      <c r="J1394" s="238" t="s">
        <v>3786</v>
      </c>
      <c r="K1394" s="236" t="s">
        <v>3787</v>
      </c>
    </row>
    <row r="1395" spans="10:11">
      <c r="J1395" s="238" t="s">
        <v>3788</v>
      </c>
      <c r="K1395" s="236" t="s">
        <v>3789</v>
      </c>
    </row>
    <row r="1396" spans="10:11">
      <c r="J1396" s="238" t="s">
        <v>3790</v>
      </c>
      <c r="K1396" s="236" t="s">
        <v>3791</v>
      </c>
    </row>
    <row r="1397" spans="10:11">
      <c r="J1397" s="238" t="s">
        <v>3792</v>
      </c>
      <c r="K1397" s="236" t="s">
        <v>3793</v>
      </c>
    </row>
    <row r="1398" spans="10:11">
      <c r="J1398" s="238" t="s">
        <v>3794</v>
      </c>
      <c r="K1398" s="236" t="s">
        <v>3795</v>
      </c>
    </row>
    <row r="1399" spans="10:11">
      <c r="J1399" s="238" t="s">
        <v>3796</v>
      </c>
      <c r="K1399" s="236" t="s">
        <v>3797</v>
      </c>
    </row>
    <row r="1400" spans="10:11">
      <c r="J1400" s="238" t="s">
        <v>3798</v>
      </c>
      <c r="K1400" s="236" t="s">
        <v>3799</v>
      </c>
    </row>
    <row r="1401" spans="10:11">
      <c r="J1401" s="238" t="s">
        <v>3800</v>
      </c>
      <c r="K1401" s="236" t="s">
        <v>3801</v>
      </c>
    </row>
    <row r="1402" spans="10:11">
      <c r="J1402" s="238" t="s">
        <v>3802</v>
      </c>
      <c r="K1402" s="236" t="s">
        <v>3803</v>
      </c>
    </row>
    <row r="1403" spans="10:11">
      <c r="J1403" s="238" t="s">
        <v>3804</v>
      </c>
      <c r="K1403" s="236" t="s">
        <v>3805</v>
      </c>
    </row>
    <row r="1404" spans="10:11">
      <c r="J1404" s="238" t="s">
        <v>3806</v>
      </c>
      <c r="K1404" s="236" t="s">
        <v>3807</v>
      </c>
    </row>
    <row r="1405" spans="10:11">
      <c r="J1405" s="238" t="s">
        <v>3808</v>
      </c>
      <c r="K1405" s="236" t="s">
        <v>2858</v>
      </c>
    </row>
    <row r="1406" spans="10:11">
      <c r="J1406" s="238" t="s">
        <v>3809</v>
      </c>
      <c r="K1406" s="236" t="s">
        <v>3810</v>
      </c>
    </row>
    <row r="1407" spans="10:11">
      <c r="J1407" s="238" t="s">
        <v>3811</v>
      </c>
      <c r="K1407" s="236" t="s">
        <v>3812</v>
      </c>
    </row>
    <row r="1408" spans="10:11">
      <c r="J1408" s="238" t="s">
        <v>3813</v>
      </c>
      <c r="K1408" s="236" t="s">
        <v>58</v>
      </c>
    </row>
    <row r="1409" spans="10:11">
      <c r="J1409" s="238" t="s">
        <v>3814</v>
      </c>
      <c r="K1409" s="236" t="s">
        <v>64</v>
      </c>
    </row>
    <row r="1410" spans="10:11">
      <c r="J1410" s="238" t="s">
        <v>3815</v>
      </c>
      <c r="K1410" s="236" t="s">
        <v>3816</v>
      </c>
    </row>
    <row r="1411" spans="10:11">
      <c r="J1411" s="238" t="s">
        <v>3817</v>
      </c>
      <c r="K1411" s="236" t="s">
        <v>3818</v>
      </c>
    </row>
    <row r="1412" spans="10:11">
      <c r="J1412" s="238" t="s">
        <v>3819</v>
      </c>
      <c r="K1412" s="236" t="s">
        <v>2156</v>
      </c>
    </row>
    <row r="1413" spans="10:11">
      <c r="J1413" s="238" t="s">
        <v>3820</v>
      </c>
      <c r="K1413" s="236" t="s">
        <v>2160</v>
      </c>
    </row>
    <row r="1414" spans="10:11">
      <c r="J1414" s="238" t="s">
        <v>3821</v>
      </c>
      <c r="K1414" s="236" t="s">
        <v>3822</v>
      </c>
    </row>
    <row r="1415" spans="10:11">
      <c r="J1415" s="238" t="s">
        <v>3823</v>
      </c>
      <c r="K1415" s="236" t="s">
        <v>3824</v>
      </c>
    </row>
    <row r="1416" spans="10:11">
      <c r="J1416" s="238" t="s">
        <v>3825</v>
      </c>
      <c r="K1416" s="236" t="s">
        <v>3826</v>
      </c>
    </row>
    <row r="1417" spans="10:11">
      <c r="J1417" s="238" t="s">
        <v>3827</v>
      </c>
      <c r="K1417" s="236" t="s">
        <v>3828</v>
      </c>
    </row>
    <row r="1418" spans="10:11">
      <c r="J1418" s="238" t="s">
        <v>3829</v>
      </c>
      <c r="K1418" s="236" t="s">
        <v>3830</v>
      </c>
    </row>
    <row r="1419" spans="10:11">
      <c r="J1419" s="238" t="s">
        <v>3831</v>
      </c>
      <c r="K1419" s="236" t="s">
        <v>58</v>
      </c>
    </row>
    <row r="1420" spans="10:11">
      <c r="J1420" s="238" t="s">
        <v>3832</v>
      </c>
      <c r="K1420" s="236" t="s">
        <v>64</v>
      </c>
    </row>
    <row r="1421" spans="10:11">
      <c r="J1421" s="238" t="s">
        <v>3833</v>
      </c>
      <c r="K1421" s="236" t="s">
        <v>2172</v>
      </c>
    </row>
    <row r="1422" spans="10:11">
      <c r="J1422" s="238" t="s">
        <v>3834</v>
      </c>
      <c r="K1422" s="236" t="s">
        <v>2176</v>
      </c>
    </row>
    <row r="1423" spans="10:11">
      <c r="J1423" s="238" t="s">
        <v>3835</v>
      </c>
      <c r="K1423" s="236" t="s">
        <v>58</v>
      </c>
    </row>
    <row r="1424" spans="10:11">
      <c r="J1424" s="238" t="s">
        <v>3836</v>
      </c>
      <c r="K1424" s="236" t="s">
        <v>64</v>
      </c>
    </row>
    <row r="1425" spans="10:11">
      <c r="J1425" s="238" t="s">
        <v>3837</v>
      </c>
      <c r="K1425" s="236" t="s">
        <v>3838</v>
      </c>
    </row>
    <row r="1426" spans="10:11">
      <c r="J1426" s="238" t="s">
        <v>3839</v>
      </c>
      <c r="K1426" s="236" t="s">
        <v>3840</v>
      </c>
    </row>
    <row r="1427" spans="10:11">
      <c r="J1427" s="238" t="s">
        <v>3841</v>
      </c>
      <c r="K1427" s="236" t="s">
        <v>3842</v>
      </c>
    </row>
    <row r="1428" spans="10:11">
      <c r="J1428" s="238" t="s">
        <v>3843</v>
      </c>
      <c r="K1428" s="236" t="s">
        <v>3844</v>
      </c>
    </row>
    <row r="1429" spans="10:11">
      <c r="J1429" s="238" t="s">
        <v>3845</v>
      </c>
      <c r="K1429" s="236" t="s">
        <v>2192</v>
      </c>
    </row>
    <row r="1430" spans="10:11">
      <c r="J1430" s="238" t="s">
        <v>3846</v>
      </c>
      <c r="K1430" s="236" t="s">
        <v>3847</v>
      </c>
    </row>
    <row r="1431" spans="10:11">
      <c r="J1431" s="238" t="s">
        <v>3848</v>
      </c>
      <c r="K1431" s="236" t="s">
        <v>3849</v>
      </c>
    </row>
    <row r="1432" spans="10:11">
      <c r="J1432" s="238" t="s">
        <v>3850</v>
      </c>
      <c r="K1432" s="236" t="s">
        <v>3851</v>
      </c>
    </row>
    <row r="1433" spans="10:11">
      <c r="J1433" s="238" t="s">
        <v>3852</v>
      </c>
      <c r="K1433" s="236" t="s">
        <v>3853</v>
      </c>
    </row>
    <row r="1434" spans="10:11">
      <c r="J1434" s="238" t="s">
        <v>3854</v>
      </c>
      <c r="K1434" s="236" t="s">
        <v>3855</v>
      </c>
    </row>
    <row r="1435" spans="10:11">
      <c r="J1435" s="238" t="s">
        <v>3856</v>
      </c>
      <c r="K1435" s="236" t="s">
        <v>3857</v>
      </c>
    </row>
    <row r="1436" spans="10:11">
      <c r="J1436" s="238" t="s">
        <v>3858</v>
      </c>
      <c r="K1436" s="236" t="s">
        <v>3859</v>
      </c>
    </row>
    <row r="1437" spans="10:11">
      <c r="J1437" s="238" t="s">
        <v>3860</v>
      </c>
      <c r="K1437" s="236" t="s">
        <v>2204</v>
      </c>
    </row>
    <row r="1438" spans="10:11">
      <c r="J1438" s="238" t="s">
        <v>3861</v>
      </c>
      <c r="K1438" s="236" t="s">
        <v>3862</v>
      </c>
    </row>
    <row r="1439" spans="10:11">
      <c r="J1439" s="238" t="s">
        <v>3863</v>
      </c>
      <c r="K1439" s="236" t="s">
        <v>3864</v>
      </c>
    </row>
    <row r="1440" spans="10:11">
      <c r="J1440" s="238" t="s">
        <v>3865</v>
      </c>
      <c r="K1440" s="236" t="s">
        <v>2212</v>
      </c>
    </row>
    <row r="1441" spans="10:11">
      <c r="J1441" s="238" t="s">
        <v>3866</v>
      </c>
      <c r="K1441" s="236" t="s">
        <v>2216</v>
      </c>
    </row>
    <row r="1442" spans="10:11">
      <c r="J1442" s="238" t="s">
        <v>3867</v>
      </c>
      <c r="K1442" s="236" t="s">
        <v>3868</v>
      </c>
    </row>
    <row r="1443" spans="10:11">
      <c r="J1443" s="238" t="s">
        <v>3869</v>
      </c>
      <c r="K1443" s="236" t="s">
        <v>3870</v>
      </c>
    </row>
    <row r="1444" spans="10:11">
      <c r="J1444" s="238" t="s">
        <v>3871</v>
      </c>
      <c r="K1444" s="236" t="s">
        <v>3872</v>
      </c>
    </row>
    <row r="1445" spans="10:11">
      <c r="J1445" s="238" t="s">
        <v>3873</v>
      </c>
      <c r="K1445" s="236" t="s">
        <v>3874</v>
      </c>
    </row>
    <row r="1446" spans="10:11">
      <c r="J1446" s="238" t="s">
        <v>3875</v>
      </c>
      <c r="K1446" s="236" t="s">
        <v>3876</v>
      </c>
    </row>
    <row r="1447" spans="10:11">
      <c r="J1447" s="238" t="s">
        <v>3877</v>
      </c>
      <c r="K1447" s="236" t="s">
        <v>3878</v>
      </c>
    </row>
    <row r="1448" spans="10:11">
      <c r="J1448" s="238" t="s">
        <v>3879</v>
      </c>
      <c r="K1448" s="236" t="s">
        <v>3880</v>
      </c>
    </row>
    <row r="1449" spans="10:11">
      <c r="J1449" s="238" t="s">
        <v>3881</v>
      </c>
      <c r="K1449" s="236" t="s">
        <v>3882</v>
      </c>
    </row>
    <row r="1450" spans="10:11">
      <c r="J1450" s="238" t="s">
        <v>3883</v>
      </c>
      <c r="K1450" s="236" t="s">
        <v>2858</v>
      </c>
    </row>
    <row r="1451" spans="10:11">
      <c r="J1451" s="238" t="s">
        <v>3884</v>
      </c>
      <c r="K1451" s="236" t="s">
        <v>2237</v>
      </c>
    </row>
    <row r="1452" spans="10:11">
      <c r="J1452" s="238" t="s">
        <v>3885</v>
      </c>
      <c r="K1452" s="236" t="s">
        <v>2241</v>
      </c>
    </row>
    <row r="1453" spans="10:11">
      <c r="J1453" s="238" t="s">
        <v>3886</v>
      </c>
      <c r="K1453" s="236" t="s">
        <v>2245</v>
      </c>
    </row>
    <row r="1454" spans="10:11">
      <c r="J1454" s="238" t="s">
        <v>3887</v>
      </c>
      <c r="K1454" s="236" t="s">
        <v>2249</v>
      </c>
    </row>
    <row r="1455" spans="10:11">
      <c r="J1455" s="238" t="s">
        <v>3888</v>
      </c>
      <c r="K1455" s="236" t="s">
        <v>2253</v>
      </c>
    </row>
    <row r="1456" spans="10:11">
      <c r="J1456" s="238" t="s">
        <v>3889</v>
      </c>
      <c r="K1456" s="236" t="s">
        <v>2257</v>
      </c>
    </row>
    <row r="1457" spans="10:11">
      <c r="J1457" s="238" t="s">
        <v>3890</v>
      </c>
      <c r="K1457" s="236" t="s">
        <v>2261</v>
      </c>
    </row>
    <row r="1458" spans="10:11">
      <c r="J1458" s="238" t="s">
        <v>3891</v>
      </c>
      <c r="K1458" s="236" t="s">
        <v>2265</v>
      </c>
    </row>
    <row r="1459" spans="10:11">
      <c r="J1459" s="238" t="s">
        <v>3892</v>
      </c>
      <c r="K1459" s="236" t="s">
        <v>2269</v>
      </c>
    </row>
    <row r="1460" spans="10:11">
      <c r="J1460" s="238" t="s">
        <v>3893</v>
      </c>
      <c r="K1460" s="236" t="s">
        <v>2273</v>
      </c>
    </row>
  </sheetData>
  <sheetProtection algorithmName="SHA-512" hashValue="jPlN5RG5+G7q6YrL9Qcq7sYhYgW6TjSGqo3rOors/HWuXiAG19Lvq1E48BAV1CFaae2Q4J7jYeF1aIkKBfuwxg==" saltValue="9V2YvMAHBQCglA9lGlzlow==" spinCount="100000" sheet="1" objects="1" scenarios="1" selectLockedCell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入力シート（2026年度提出用）</vt:lpstr>
      <vt:lpstr>入力シート（2027年度提出用）</vt:lpstr>
      <vt:lpstr>入力シート（2028年度提出用）</vt:lpstr>
      <vt:lpstr>入力シート（2029年度提出用）</vt:lpstr>
      <vt:lpstr>公表用シート</vt:lpstr>
      <vt:lpstr>評価確認（参考）</vt:lpstr>
      <vt:lpstr>基本設定シート</vt:lpstr>
      <vt:lpstr>集計表への転記用</vt:lpstr>
      <vt:lpstr>産業分類</vt:lpstr>
      <vt:lpstr>係数（車両用）</vt:lpstr>
      <vt:lpstr>係数（事業所用）</vt:lpstr>
      <vt:lpstr>プルダウンリスト（エネルギー）</vt:lpstr>
      <vt:lpstr>取組リスト</vt:lpstr>
      <vt:lpstr>各年度エネルギー使用量比較</vt:lpstr>
      <vt:lpstr>'係数（事業所用）'!Print_Area</vt:lpstr>
      <vt:lpstr>'係数（車両用）'!Print_Area</vt:lpstr>
      <vt:lpstr>公表用シート!Print_Area</vt:lpstr>
      <vt:lpstr>'入力シート（2026年度提出用）'!Print_Area</vt:lpstr>
      <vt:lpstr>'入力シート（2027年度提出用）'!Print_Area</vt:lpstr>
      <vt:lpstr>'入力シート（2028年度提出用）'!Print_Area</vt:lpstr>
      <vt:lpstr>'入力シート（2029年度提出用）'!Print_Area</vt:lpstr>
      <vt:lpstr>'評価確認（参考）'!Print_Area</vt:lpstr>
      <vt:lpstr>'入力シート（2026年度提出用）'!Print_Titles</vt:lpstr>
      <vt:lpstr>'入力シート（2027年度提出用）'!Print_Titles</vt:lpstr>
      <vt:lpstr>'入力シート（2028年度提出用）'!Print_Titles</vt:lpstr>
      <vt:lpstr>'入力シート（2029年度提出用）'!Print_Titles</vt:lpstr>
      <vt:lpstr>'係数（事業所用）'!係数2023</vt:lpstr>
      <vt:lpstr>'係数（車両用）'!係数2023</vt:lpstr>
      <vt:lpstr>細分類</vt:lpstr>
      <vt:lpstr>小分類</vt:lpstr>
      <vt:lpstr>中分類</vt:lpstr>
      <vt:lpstr>'係数（事業所用）'!非化石燃料</vt:lpstr>
      <vt:lpstr>非化石燃料</vt:lpstr>
      <vt:lpstr>'係数（事業所用）'!非化石燃料2023</vt:lpstr>
      <vt:lpstr>非化石燃料2023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田代　翼</cp:lastModifiedBy>
  <cp:lastPrinted>2026-03-29T23:43:14Z</cp:lastPrinted>
  <dcterms:created xsi:type="dcterms:W3CDTF">2015-06-05T18:19:34Z</dcterms:created>
  <dcterms:modified xsi:type="dcterms:W3CDTF">2026-03-29T23:46:02Z</dcterms:modified>
</cp:coreProperties>
</file>