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2.xml" ContentType="application/vnd.openxmlformats-officedocument.spreadsheetml.comments+xml"/>
  <Override PartName="/xl/tables/table8.xml" ContentType="application/vnd.openxmlformats-officedocument.spreadsheetml.table+xml"/>
  <Override PartName="/xl/comments3.xml" ContentType="application/vnd.openxmlformats-officedocument.spreadsheetml.comments+xml"/>
  <Override PartName="/xl/tables/table9.xml" ContentType="application/vnd.openxmlformats-officedocument.spreadsheetml.tab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\\filesv-honcho.intra.city.sendai.jp\組織用\健康福祉局障害福祉部\障害福祉部共有\★障害福祉部照会回答用\★コロナウイルス関係\09_国補助関係\R7\★ICT導入モデル事業\★消費税及び地方消費税に係る仕入控除額報告書（令和５年度分）\06_HP公開\"/>
    </mc:Choice>
  </mc:AlternateContent>
  <xr:revisionPtr revIDLastSave="0" documentId="13_ncr:1_{122E2339-6C0B-4AFE-B291-71B17ACE34D1}" xr6:coauthVersionLast="47" xr6:coauthVersionMax="47" xr10:uidLastSave="{00000000-0000-0000-0000-000000000000}"/>
  <bookViews>
    <workbookView xWindow="28680" yWindow="-120" windowWidth="29040" windowHeight="15720" tabRatio="819" xr2:uid="{00000000-000D-0000-FFFF-FFFF00000000}"/>
  </bookViews>
  <sheets>
    <sheet name="事業所一覧（HP用）" sheetId="54" r:id="rId1"/>
    <sheet name="実績確定用  (3)" sheetId="46" state="hidden" r:id="rId2"/>
    <sheet name="実績確定用  (2)" sheetId="44" state="hidden" r:id="rId3"/>
    <sheet name="実績確定用 " sheetId="43" state="hidden" r:id="rId4"/>
    <sheet name="実績確定用 (支援課分)" sheetId="42" state="hidden" r:id="rId5"/>
    <sheet name="交付決定一覧" sheetId="39" state="hidden" r:id="rId6"/>
    <sheet name="Sheet2" sheetId="45" state="hidden" r:id="rId7"/>
    <sheet name="支援課分" sheetId="40" state="hidden" r:id="rId8"/>
    <sheet name="就労のみ (2)" sheetId="38" state="hidden" r:id="rId9"/>
    <sheet name="就労のみ" sheetId="37" state="hidden" r:id="rId10"/>
    <sheet name="送付先一覧" sheetId="6" state="hidden" r:id="rId11"/>
    <sheet name="電子申請一覧。" sheetId="5" state="hidden" r:id="rId12"/>
    <sheet name="内々示一覧表 (印刷用)" sheetId="41" state="hidden" r:id="rId13"/>
    <sheet name="一覧表 (確認用)" sheetId="4" state="hidden" r:id="rId14"/>
    <sheet name="1" sheetId="7" state="hidden" r:id="rId15"/>
    <sheet name="2" sheetId="10" state="hidden" r:id="rId16"/>
    <sheet name="3" sheetId="16" state="hidden" r:id="rId17"/>
    <sheet name="4" sheetId="21" state="hidden" r:id="rId18"/>
    <sheet name="5" sheetId="22" state="hidden" r:id="rId19"/>
    <sheet name="6" sheetId="23" state="hidden" r:id="rId20"/>
    <sheet name="7-15" sheetId="24" state="hidden" r:id="rId21"/>
    <sheet name="16" sheetId="26" state="hidden" r:id="rId22"/>
    <sheet name="17-19" sheetId="25" state="hidden" r:id="rId23"/>
    <sheet name="20" sheetId="27" state="hidden" r:id="rId24"/>
    <sheet name="21-28" sheetId="28" state="hidden" r:id="rId25"/>
    <sheet name="29" sheetId="29" state="hidden" r:id="rId26"/>
    <sheet name="30" sheetId="30" state="hidden" r:id="rId27"/>
    <sheet name="31-32" sheetId="31" state="hidden" r:id="rId28"/>
    <sheet name="33-36" sheetId="32" state="hidden" r:id="rId29"/>
    <sheet name="37" sheetId="33" state="hidden" r:id="rId30"/>
    <sheet name="38-40" sheetId="34" state="hidden" r:id="rId31"/>
    <sheet name="41-46" sheetId="35" state="hidden" r:id="rId32"/>
    <sheet name="47" sheetId="36" state="hidden" r:id="rId33"/>
    <sheet name="原本" sheetId="1" state="hidden" r:id="rId34"/>
    <sheet name="電子申請一覧" sheetId="2" state="hidden" r:id="rId35"/>
    <sheet name="調査票" sheetId="3" state="hidden" r:id="rId36"/>
  </sheets>
  <definedNames>
    <definedName name="_xlnm._FilterDatabase" localSheetId="13" hidden="1">'一覧表 (確認用)'!$A$2:$K$52</definedName>
    <definedName name="_xlnm._FilterDatabase" localSheetId="5" hidden="1">交付決定一覧!$B$1:$R$50</definedName>
    <definedName name="_xlnm._FilterDatabase" localSheetId="0" hidden="1">'事業所一覧（HP用）'!$A$1:$D$13</definedName>
    <definedName name="_xlnm._FilterDatabase" localSheetId="3" hidden="1">'実績確定用 '!$A$1:$J$47</definedName>
    <definedName name="_xlnm._FilterDatabase" localSheetId="2" hidden="1">'実績確定用  (2)'!$A$1:$J$47</definedName>
    <definedName name="_xlnm._FilterDatabase" localSheetId="1" hidden="1">'実績確定用  (3)'!$A$1:$N$49</definedName>
    <definedName name="_xlnm._FilterDatabase" localSheetId="4" hidden="1">'実績確定用 (支援課分)'!$A$1:$Q$36</definedName>
    <definedName name="_xlnm._FilterDatabase" localSheetId="9" hidden="1">就労のみ!$A$1:$R$15</definedName>
    <definedName name="_xlnm._FilterDatabase" localSheetId="8" hidden="1">'就労のみ (2)'!$A$1:$R$15</definedName>
    <definedName name="_xlnm._FilterDatabase" localSheetId="10" hidden="1">送付先一覧!$A$1:$O$49</definedName>
    <definedName name="_xlnm._FilterDatabase" localSheetId="12" hidden="1">'内々示一覧表 (印刷用)'!$A$2:$K$54</definedName>
    <definedName name="_xlnm.Print_Area" localSheetId="14">'1'!$A$1:$AQ$34</definedName>
    <definedName name="_xlnm.Print_Area" localSheetId="21">'16'!$A$1:$AQ$34</definedName>
    <definedName name="_xlnm.Print_Area" localSheetId="22">'17-19'!$A$1:$AQ$102</definedName>
    <definedName name="_xlnm.Print_Area" localSheetId="15">'2'!$A$1:$AQ$34</definedName>
    <definedName name="_xlnm.Print_Area" localSheetId="23">'20'!$A$1:$AQ$34</definedName>
    <definedName name="_xlnm.Print_Area" localSheetId="24">'21-28'!$A$1:$AQ$272</definedName>
    <definedName name="_xlnm.Print_Area" localSheetId="25">'29'!$A$1:$AQ$34</definedName>
    <definedName name="_xlnm.Print_Area" localSheetId="16">'3'!$A$1:$AQ$34</definedName>
    <definedName name="_xlnm.Print_Area" localSheetId="26">'30'!$A$1:$AQ$34</definedName>
    <definedName name="_xlnm.Print_Area" localSheetId="27">'31-32'!$A$1:$AQ$68</definedName>
    <definedName name="_xlnm.Print_Area" localSheetId="28">'33-36'!$A$1:$AQ$136</definedName>
    <definedName name="_xlnm.Print_Area" localSheetId="29">'37'!$A$1:$AQ$34</definedName>
    <definedName name="_xlnm.Print_Area" localSheetId="30">'38-40'!$A$1:$AQ$102</definedName>
    <definedName name="_xlnm.Print_Area" localSheetId="17">'4'!$A$1:$AQ$34</definedName>
    <definedName name="_xlnm.Print_Area" localSheetId="31">'41-46'!$A$1:$AQ$204</definedName>
    <definedName name="_xlnm.Print_Area" localSheetId="32">'47'!$A$1:$AQ$34</definedName>
    <definedName name="_xlnm.Print_Area" localSheetId="18">'5'!$A$1:$AQ$34</definedName>
    <definedName name="_xlnm.Print_Area" localSheetId="19">'6'!$A$1:$AQ$34</definedName>
    <definedName name="_xlnm.Print_Area" localSheetId="20">'7-15'!$A$1:$AQ$306</definedName>
    <definedName name="_xlnm.Print_Area" localSheetId="13">'一覧表 (確認用)'!$A$1:$K$54</definedName>
    <definedName name="_xlnm.Print_Area" localSheetId="5">テーブル25678[#All]</definedName>
    <definedName name="_xlnm.Print_Area" localSheetId="0">'事業所一覧（HP用）'!$A$1:$E$12</definedName>
    <definedName name="_xlnm.Print_Area" localSheetId="3">テーブル25678910[#All]</definedName>
    <definedName name="_xlnm.Print_Area" localSheetId="2">テーブル2567891011[#All]</definedName>
    <definedName name="_xlnm.Print_Area" localSheetId="1">'実績確定用  (3)'!$A$1:$O$65</definedName>
    <definedName name="_xlnm.Print_Area" localSheetId="4">テーブル256789[#All]</definedName>
    <definedName name="_xlnm.Print_Area" localSheetId="9">就労のみ!$A$1:$R$16</definedName>
    <definedName name="_xlnm.Print_Area" localSheetId="8">'就労のみ (2)'!$A$1:$R$16</definedName>
    <definedName name="_xlnm.Print_Area" localSheetId="10">送付先一覧!$A$1:$O$51</definedName>
    <definedName name="_xlnm.Print_Area" localSheetId="35">調査票!$A$1:$AO$34</definedName>
    <definedName name="_xlnm.Print_Area" localSheetId="34">電子申請一覧!$A$1:$BR$17</definedName>
    <definedName name="_xlnm.Print_Area" localSheetId="11">テーブル24[[#All],[番号]:[国庫補助基本額【上限100万円】]]</definedName>
    <definedName name="_xlnm.Print_Area" localSheetId="12">'内々示一覧表 (印刷用)'!$A$1:$K$54</definedName>
    <definedName name="_xlnm.Print_Titles" localSheetId="13">'一覧表 (確認用)'!$2:$2</definedName>
    <definedName name="_xlnm.Print_Titles" localSheetId="5">交付決定一覧!$1:$1</definedName>
    <definedName name="_xlnm.Print_Titles" localSheetId="0">'事業所一覧（HP用）'!$1:$1</definedName>
    <definedName name="_xlnm.Print_Titles" localSheetId="3">'実績確定用 '!$1:$1</definedName>
    <definedName name="_xlnm.Print_Titles" localSheetId="2">'実績確定用  (2)'!$1:$1</definedName>
    <definedName name="_xlnm.Print_Titles" localSheetId="1">'実績確定用  (3)'!$1:$1</definedName>
    <definedName name="_xlnm.Print_Titles" localSheetId="4">'実績確定用 (支援課分)'!$1:$1</definedName>
    <definedName name="_xlnm.Print_Titles" localSheetId="9">就労のみ!$1:$1</definedName>
    <definedName name="_xlnm.Print_Titles" localSheetId="8">'就労のみ (2)'!$1:$1</definedName>
    <definedName name="_xlnm.Print_Titles" localSheetId="10">送付先一覧!$1:$1</definedName>
    <definedName name="_xlnm.Print_Titles" localSheetId="11">電子申請一覧。!$1:$1</definedName>
    <definedName name="_xlnm.Print_Titles" localSheetId="12">'内々示一覧表 (印刷用)'!$2:$2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46" l="1"/>
  <c r="M49" i="46"/>
  <c r="K48" i="46"/>
  <c r="N3" i="46"/>
  <c r="N4" i="46"/>
  <c r="N5" i="46"/>
  <c r="N6" i="46"/>
  <c r="N7" i="46"/>
  <c r="N8" i="46"/>
  <c r="N9" i="46"/>
  <c r="N10" i="46"/>
  <c r="N11" i="46"/>
  <c r="N12" i="46"/>
  <c r="N13" i="46"/>
  <c r="N14" i="46"/>
  <c r="N15" i="46"/>
  <c r="N16" i="46"/>
  <c r="N17" i="46"/>
  <c r="N18" i="46"/>
  <c r="N19" i="46"/>
  <c r="N20" i="46"/>
  <c r="N21" i="46"/>
  <c r="N22" i="46"/>
  <c r="N23" i="46"/>
  <c r="N24" i="46"/>
  <c r="N25" i="46"/>
  <c r="N26" i="46"/>
  <c r="N27" i="46"/>
  <c r="N28" i="46"/>
  <c r="N29" i="46"/>
  <c r="N30" i="46"/>
  <c r="N31" i="46"/>
  <c r="N32" i="46"/>
  <c r="N33" i="46"/>
  <c r="N34" i="46"/>
  <c r="N35" i="46"/>
  <c r="N36" i="46"/>
  <c r="N37" i="46"/>
  <c r="N38" i="46"/>
  <c r="N39" i="46"/>
  <c r="N40" i="46"/>
  <c r="N41" i="46"/>
  <c r="N42" i="46"/>
  <c r="N2" i="46"/>
  <c r="M48" i="46"/>
  <c r="O47" i="46"/>
  <c r="O46" i="46"/>
  <c r="O45" i="46"/>
  <c r="O44" i="46"/>
  <c r="O43" i="46"/>
  <c r="O42" i="46"/>
  <c r="O41" i="46"/>
  <c r="O40" i="46"/>
  <c r="O39" i="46"/>
  <c r="O38" i="46"/>
  <c r="O37" i="46"/>
  <c r="O36" i="46"/>
  <c r="O35" i="46"/>
  <c r="O34" i="46"/>
  <c r="O33" i="46"/>
  <c r="O32" i="46"/>
  <c r="O31" i="46"/>
  <c r="O30" i="46"/>
  <c r="O29" i="46"/>
  <c r="O28" i="46"/>
  <c r="O27" i="46"/>
  <c r="O26" i="46"/>
  <c r="O25" i="46"/>
  <c r="O24" i="46"/>
  <c r="O23" i="46"/>
  <c r="O22" i="46"/>
  <c r="O21" i="46"/>
  <c r="O20" i="46"/>
  <c r="O19" i="46"/>
  <c r="O18" i="46"/>
  <c r="O17" i="46"/>
  <c r="O16" i="46"/>
  <c r="O15" i="46"/>
  <c r="O14" i="46"/>
  <c r="O13" i="46"/>
  <c r="O12" i="46"/>
  <c r="O11" i="46"/>
  <c r="O10" i="46"/>
  <c r="O9" i="46"/>
  <c r="O8" i="46"/>
  <c r="O7" i="46"/>
  <c r="O6" i="46"/>
  <c r="O5" i="46"/>
  <c r="O4" i="46"/>
  <c r="O3" i="46"/>
  <c r="O2" i="46"/>
  <c r="H47" i="46"/>
  <c r="H46" i="46"/>
  <c r="H45" i="46"/>
  <c r="H44" i="46"/>
  <c r="H43" i="46"/>
  <c r="G48" i="46"/>
  <c r="F48" i="46"/>
  <c r="H42" i="46"/>
  <c r="H41" i="46"/>
  <c r="H40" i="46"/>
  <c r="H39" i="46"/>
  <c r="H38" i="46"/>
  <c r="H37" i="46"/>
  <c r="H36" i="46"/>
  <c r="H35" i="46"/>
  <c r="H34" i="46"/>
  <c r="H33" i="46"/>
  <c r="H32" i="46"/>
  <c r="H31" i="46"/>
  <c r="H30" i="46"/>
  <c r="H29" i="46"/>
  <c r="H28" i="46"/>
  <c r="H27" i="46"/>
  <c r="H26" i="46"/>
  <c r="H25" i="46"/>
  <c r="H24" i="46"/>
  <c r="H23" i="46"/>
  <c r="H22" i="46"/>
  <c r="H21" i="46"/>
  <c r="H20" i="46"/>
  <c r="H19" i="46"/>
  <c r="H18" i="46"/>
  <c r="H17" i="46"/>
  <c r="H16" i="46"/>
  <c r="H15" i="46"/>
  <c r="H14" i="46"/>
  <c r="H13" i="46"/>
  <c r="H12" i="46"/>
  <c r="H11" i="46"/>
  <c r="H10" i="46"/>
  <c r="H9" i="46"/>
  <c r="H8" i="46"/>
  <c r="H7" i="46"/>
  <c r="H6" i="46"/>
  <c r="H5" i="46"/>
  <c r="H4" i="46"/>
  <c r="H3" i="46"/>
  <c r="H2" i="46"/>
  <c r="M50" i="46" l="1"/>
  <c r="H48" i="46"/>
  <c r="O48" i="46"/>
  <c r="O50" i="46" s="1"/>
  <c r="D6" i="45"/>
  <c r="E6" i="45" s="1"/>
  <c r="G6" i="45" s="1"/>
  <c r="C6" i="45"/>
  <c r="C7" i="45"/>
  <c r="D7" i="45" s="1"/>
  <c r="E7" i="45" s="1"/>
  <c r="G7" i="45" s="1"/>
  <c r="B9" i="45"/>
  <c r="C8" i="45" s="1"/>
  <c r="D8" i="45" s="1"/>
  <c r="E8" i="45" s="1"/>
  <c r="G8" i="45" s="1"/>
  <c r="I48" i="44"/>
  <c r="H48" i="44"/>
  <c r="K10" i="44"/>
  <c r="J10" i="44"/>
  <c r="K47" i="44"/>
  <c r="J47" i="44"/>
  <c r="K46" i="44"/>
  <c r="J46" i="44"/>
  <c r="K45" i="44"/>
  <c r="J45" i="44"/>
  <c r="K44" i="44"/>
  <c r="J44" i="44"/>
  <c r="K6" i="44"/>
  <c r="J6" i="44"/>
  <c r="K5" i="44"/>
  <c r="J5" i="44"/>
  <c r="K4" i="44"/>
  <c r="J4" i="44"/>
  <c r="K3" i="44"/>
  <c r="J3" i="44"/>
  <c r="K2" i="44"/>
  <c r="J2" i="44"/>
  <c r="K9" i="44"/>
  <c r="J9" i="44"/>
  <c r="K8" i="44"/>
  <c r="J8" i="44"/>
  <c r="K7" i="44"/>
  <c r="J7" i="44"/>
  <c r="K43" i="44"/>
  <c r="J43" i="44"/>
  <c r="K42" i="44"/>
  <c r="J42" i="44"/>
  <c r="K41" i="44"/>
  <c r="J41" i="44"/>
  <c r="K40" i="44"/>
  <c r="J40" i="44"/>
  <c r="K39" i="44"/>
  <c r="J39" i="44"/>
  <c r="K38" i="44"/>
  <c r="J38" i="44"/>
  <c r="K37" i="44"/>
  <c r="J37" i="44"/>
  <c r="K36" i="44"/>
  <c r="J36" i="44"/>
  <c r="K35" i="44"/>
  <c r="J35" i="44"/>
  <c r="K34" i="44"/>
  <c r="J34" i="44"/>
  <c r="K33" i="44"/>
  <c r="J33" i="44"/>
  <c r="K32" i="44"/>
  <c r="J32" i="44"/>
  <c r="K31" i="44"/>
  <c r="J31" i="44"/>
  <c r="K30" i="44"/>
  <c r="J30" i="44"/>
  <c r="K29" i="44"/>
  <c r="J29" i="44"/>
  <c r="K28" i="44"/>
  <c r="J28" i="44"/>
  <c r="K27" i="44"/>
  <c r="J27" i="44"/>
  <c r="K26" i="44"/>
  <c r="J26" i="44"/>
  <c r="K25" i="44"/>
  <c r="J25" i="44"/>
  <c r="K24" i="44"/>
  <c r="J24" i="44"/>
  <c r="K23" i="44"/>
  <c r="J23" i="44"/>
  <c r="K22" i="44"/>
  <c r="J22" i="44"/>
  <c r="K21" i="44"/>
  <c r="J21" i="44"/>
  <c r="K20" i="44"/>
  <c r="J20" i="44"/>
  <c r="K19" i="44"/>
  <c r="J19" i="44"/>
  <c r="K18" i="44"/>
  <c r="J18" i="44"/>
  <c r="K17" i="44"/>
  <c r="J17" i="44"/>
  <c r="K16" i="44"/>
  <c r="J16" i="44"/>
  <c r="K15" i="44"/>
  <c r="J15" i="44"/>
  <c r="K14" i="44"/>
  <c r="J14" i="44"/>
  <c r="K13" i="44"/>
  <c r="J13" i="44"/>
  <c r="K12" i="44"/>
  <c r="J12" i="44"/>
  <c r="K11" i="44"/>
  <c r="J11" i="44"/>
  <c r="C5" i="45" l="1"/>
  <c r="D5" i="45" s="1"/>
  <c r="E5" i="45" s="1"/>
  <c r="G5" i="45" s="1"/>
  <c r="C9" i="45"/>
  <c r="C4" i="45"/>
  <c r="D4" i="45" s="1"/>
  <c r="K48" i="44"/>
  <c r="J48" i="44"/>
  <c r="J2" i="43"/>
  <c r="J3" i="43"/>
  <c r="J4" i="43"/>
  <c r="J5" i="43"/>
  <c r="J6" i="43"/>
  <c r="J7" i="43"/>
  <c r="J8" i="43"/>
  <c r="J9" i="43"/>
  <c r="J10" i="43"/>
  <c r="J11" i="43"/>
  <c r="J12" i="43"/>
  <c r="J13" i="43"/>
  <c r="J14" i="43"/>
  <c r="J15" i="43"/>
  <c r="J16" i="43"/>
  <c r="J17" i="43"/>
  <c r="J18" i="43"/>
  <c r="J19" i="43"/>
  <c r="J20" i="43"/>
  <c r="J21" i="43"/>
  <c r="J22" i="43"/>
  <c r="J23" i="43"/>
  <c r="J24" i="43"/>
  <c r="J25" i="43"/>
  <c r="J26" i="43"/>
  <c r="J27" i="43"/>
  <c r="J28" i="43"/>
  <c r="J29" i="43"/>
  <c r="J30" i="43"/>
  <c r="J31" i="43"/>
  <c r="J32" i="43"/>
  <c r="J33" i="43"/>
  <c r="J34" i="43"/>
  <c r="J35" i="43"/>
  <c r="J36" i="43"/>
  <c r="J37" i="43"/>
  <c r="J38" i="43"/>
  <c r="J39" i="43"/>
  <c r="J40" i="43"/>
  <c r="J41" i="43"/>
  <c r="J42" i="43"/>
  <c r="J43" i="43"/>
  <c r="J44" i="43"/>
  <c r="J45" i="43"/>
  <c r="J46" i="43"/>
  <c r="J47" i="43"/>
  <c r="K2" i="43"/>
  <c r="K3" i="43"/>
  <c r="K4" i="43"/>
  <c r="K5" i="43"/>
  <c r="K6" i="43"/>
  <c r="K7" i="43"/>
  <c r="K8" i="43"/>
  <c r="K9" i="43"/>
  <c r="K10" i="43"/>
  <c r="K11" i="43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K25" i="43"/>
  <c r="K26" i="43"/>
  <c r="K27" i="43"/>
  <c r="K28" i="43"/>
  <c r="K29" i="43"/>
  <c r="K30" i="43"/>
  <c r="K31" i="43"/>
  <c r="K32" i="43"/>
  <c r="K33" i="43"/>
  <c r="K34" i="43"/>
  <c r="K35" i="43"/>
  <c r="K36" i="43"/>
  <c r="K37" i="43"/>
  <c r="K38" i="43"/>
  <c r="K39" i="43"/>
  <c r="K40" i="43"/>
  <c r="K41" i="43"/>
  <c r="K42" i="43"/>
  <c r="K43" i="43"/>
  <c r="K44" i="43"/>
  <c r="K45" i="43"/>
  <c r="K46" i="43"/>
  <c r="K47" i="43"/>
  <c r="H48" i="43"/>
  <c r="I48" i="43"/>
  <c r="D9" i="45" l="1"/>
  <c r="E4" i="45"/>
  <c r="M36" i="42"/>
  <c r="M35" i="42"/>
  <c r="M34" i="42"/>
  <c r="M33" i="42"/>
  <c r="M32" i="42"/>
  <c r="M31" i="42"/>
  <c r="M30" i="42"/>
  <c r="M29" i="42"/>
  <c r="M28" i="42"/>
  <c r="M27" i="42"/>
  <c r="M26" i="42"/>
  <c r="M25" i="42"/>
  <c r="M23" i="42"/>
  <c r="M22" i="42"/>
  <c r="M21" i="42"/>
  <c r="M20" i="42"/>
  <c r="M19" i="42"/>
  <c r="M18" i="42"/>
  <c r="M17" i="42"/>
  <c r="M16" i="42"/>
  <c r="M15" i="42"/>
  <c r="M14" i="42"/>
  <c r="M13" i="42"/>
  <c r="M12" i="42"/>
  <c r="M11" i="42"/>
  <c r="M10" i="42"/>
  <c r="M8" i="42"/>
  <c r="M7" i="42"/>
  <c r="M6" i="42"/>
  <c r="M5" i="42"/>
  <c r="M3" i="42"/>
  <c r="M2" i="42"/>
  <c r="G4" i="45" l="1"/>
  <c r="G9" i="45" s="1"/>
  <c r="E9" i="45"/>
  <c r="K48" i="43"/>
  <c r="J48" i="43"/>
  <c r="O5" i="42"/>
  <c r="R5" i="42"/>
  <c r="O13" i="42"/>
  <c r="R13" i="42"/>
  <c r="O21" i="42"/>
  <c r="R21" i="42"/>
  <c r="O29" i="42"/>
  <c r="R29" i="42"/>
  <c r="O2" i="42"/>
  <c r="R2" i="42"/>
  <c r="O6" i="42"/>
  <c r="R6" i="42"/>
  <c r="O10" i="42"/>
  <c r="R10" i="42"/>
  <c r="O14" i="42"/>
  <c r="R14" i="42"/>
  <c r="O22" i="42"/>
  <c r="R22" i="42"/>
  <c r="O30" i="42"/>
  <c r="R30" i="42"/>
  <c r="O3" i="42"/>
  <c r="R3" i="42"/>
  <c r="O7" i="42"/>
  <c r="R7" i="42"/>
  <c r="O11" i="42"/>
  <c r="R11" i="42"/>
  <c r="O15" i="42"/>
  <c r="R15" i="42"/>
  <c r="O19" i="42"/>
  <c r="R19" i="42"/>
  <c r="O23" i="42"/>
  <c r="R23" i="42"/>
  <c r="O27" i="42"/>
  <c r="R27" i="42"/>
  <c r="O31" i="42"/>
  <c r="R31" i="42"/>
  <c r="O35" i="42"/>
  <c r="R35" i="42"/>
  <c r="O9" i="42"/>
  <c r="R9" i="42"/>
  <c r="O17" i="42"/>
  <c r="R17" i="42"/>
  <c r="O25" i="42"/>
  <c r="R25" i="42"/>
  <c r="O33" i="42"/>
  <c r="R33" i="42"/>
  <c r="O18" i="42"/>
  <c r="R18" i="42"/>
  <c r="O26" i="42"/>
  <c r="R26" i="42"/>
  <c r="O34" i="42"/>
  <c r="R34" i="42"/>
  <c r="O4" i="42"/>
  <c r="R4" i="42"/>
  <c r="O8" i="42"/>
  <c r="R8" i="42"/>
  <c r="O12" i="42"/>
  <c r="R12" i="42"/>
  <c r="O16" i="42"/>
  <c r="R16" i="42"/>
  <c r="O20" i="42"/>
  <c r="R20" i="42"/>
  <c r="O24" i="42"/>
  <c r="R24" i="42"/>
  <c r="O28" i="42"/>
  <c r="R28" i="42"/>
  <c r="O32" i="42"/>
  <c r="R32" i="42"/>
  <c r="O36" i="42"/>
  <c r="R36" i="42"/>
  <c r="O51" i="39" l="1"/>
  <c r="N48" i="39"/>
  <c r="P48" i="39" s="1"/>
  <c r="N49" i="39"/>
  <c r="P49" i="39" s="1"/>
  <c r="N50" i="39"/>
  <c r="P50" i="39" s="1"/>
  <c r="N3" i="39"/>
  <c r="P3" i="39" s="1"/>
  <c r="N4" i="39"/>
  <c r="P4" i="39" s="1"/>
  <c r="N5" i="39"/>
  <c r="P5" i="39" s="1"/>
  <c r="N6" i="39"/>
  <c r="P6" i="39" s="1"/>
  <c r="N7" i="39"/>
  <c r="P7" i="39" s="1"/>
  <c r="N8" i="39"/>
  <c r="P8" i="39" s="1"/>
  <c r="N9" i="39"/>
  <c r="P9" i="39" s="1"/>
  <c r="N10" i="39"/>
  <c r="P10" i="39" s="1"/>
  <c r="N11" i="39"/>
  <c r="P11" i="39" s="1"/>
  <c r="N12" i="39"/>
  <c r="P12" i="39" s="1"/>
  <c r="N13" i="39"/>
  <c r="P13" i="39" s="1"/>
  <c r="N14" i="39"/>
  <c r="P14" i="39" s="1"/>
  <c r="N15" i="39"/>
  <c r="P15" i="39" s="1"/>
  <c r="N16" i="39"/>
  <c r="P16" i="39" s="1"/>
  <c r="N17" i="39"/>
  <c r="P17" i="39" s="1"/>
  <c r="N18" i="39"/>
  <c r="P18" i="39" s="1"/>
  <c r="N19" i="39"/>
  <c r="P19" i="39" s="1"/>
  <c r="N20" i="39"/>
  <c r="P20" i="39" s="1"/>
  <c r="N21" i="39"/>
  <c r="P21" i="39" s="1"/>
  <c r="N22" i="39"/>
  <c r="P22" i="39" s="1"/>
  <c r="N23" i="39"/>
  <c r="P23" i="39" s="1"/>
  <c r="N24" i="39"/>
  <c r="P24" i="39" s="1"/>
  <c r="N25" i="39"/>
  <c r="P25" i="39" s="1"/>
  <c r="N26" i="39"/>
  <c r="P26" i="39" s="1"/>
  <c r="N27" i="39"/>
  <c r="P27" i="39" s="1"/>
  <c r="N28" i="39"/>
  <c r="P28" i="39" s="1"/>
  <c r="N29" i="39"/>
  <c r="P29" i="39" s="1"/>
  <c r="N30" i="39"/>
  <c r="P30" i="39" s="1"/>
  <c r="N31" i="39"/>
  <c r="P31" i="39" s="1"/>
  <c r="N32" i="39"/>
  <c r="P32" i="39" s="1"/>
  <c r="N33" i="39"/>
  <c r="P33" i="39" s="1"/>
  <c r="N34" i="39"/>
  <c r="P34" i="39" s="1"/>
  <c r="N35" i="39"/>
  <c r="P35" i="39" s="1"/>
  <c r="N36" i="39"/>
  <c r="P36" i="39" s="1"/>
  <c r="N37" i="39"/>
  <c r="P37" i="39" s="1"/>
  <c r="N38" i="39"/>
  <c r="P38" i="39" s="1"/>
  <c r="N39" i="39"/>
  <c r="P39" i="39" s="1"/>
  <c r="N40" i="39"/>
  <c r="P40" i="39" s="1"/>
  <c r="N41" i="39"/>
  <c r="P41" i="39" s="1"/>
  <c r="N42" i="39"/>
  <c r="P42" i="39" s="1"/>
  <c r="N43" i="39"/>
  <c r="P43" i="39" s="1"/>
  <c r="N44" i="39"/>
  <c r="P44" i="39" s="1"/>
  <c r="N45" i="39"/>
  <c r="P45" i="39" s="1"/>
  <c r="N46" i="39"/>
  <c r="P46" i="39" s="1"/>
  <c r="N47" i="39"/>
  <c r="P47" i="39" s="1"/>
  <c r="J54" i="41"/>
  <c r="K51" i="39"/>
  <c r="L51" i="39" l="1"/>
  <c r="M51" i="39"/>
  <c r="L35" i="40"/>
  <c r="K35" i="40"/>
  <c r="N2" i="39"/>
  <c r="P2" i="39" l="1"/>
  <c r="P51" i="39" s="1"/>
  <c r="N51" i="39"/>
  <c r="O16" i="38"/>
  <c r="N16" i="38"/>
  <c r="L16" i="38"/>
  <c r="P15" i="38"/>
  <c r="M15" i="38"/>
  <c r="P14" i="38"/>
  <c r="M14" i="38"/>
  <c r="P13" i="38"/>
  <c r="M13" i="38"/>
  <c r="P12" i="38"/>
  <c r="M12" i="38"/>
  <c r="P11" i="38"/>
  <c r="M11" i="38"/>
  <c r="P10" i="38"/>
  <c r="M10" i="38"/>
  <c r="P9" i="38"/>
  <c r="M9" i="38"/>
  <c r="P8" i="38"/>
  <c r="M8" i="38"/>
  <c r="P7" i="38"/>
  <c r="M7" i="38"/>
  <c r="P6" i="38"/>
  <c r="M6" i="38"/>
  <c r="P5" i="38"/>
  <c r="M5" i="38"/>
  <c r="P4" i="38"/>
  <c r="M4" i="38"/>
  <c r="P3" i="38"/>
  <c r="M3" i="38"/>
  <c r="P2" i="38"/>
  <c r="M2" i="38"/>
  <c r="P16" i="38" l="1"/>
  <c r="M16" i="38"/>
  <c r="P2" i="37"/>
  <c r="P3" i="37"/>
  <c r="P4" i="37"/>
  <c r="P5" i="37"/>
  <c r="P8" i="37"/>
  <c r="P11" i="37"/>
  <c r="P12" i="37"/>
  <c r="P15" i="37"/>
  <c r="P6" i="37"/>
  <c r="P7" i="37"/>
  <c r="P9" i="37"/>
  <c r="P10" i="37"/>
  <c r="P13" i="37"/>
  <c r="P14" i="37"/>
  <c r="P16" i="37" l="1"/>
  <c r="O16" i="37"/>
  <c r="N16" i="37" l="1"/>
  <c r="L16" i="37"/>
  <c r="M14" i="37"/>
  <c r="M11" i="37"/>
  <c r="M13" i="37"/>
  <c r="M12" i="37"/>
  <c r="M10" i="37"/>
  <c r="M8" i="37"/>
  <c r="M9" i="37"/>
  <c r="M7" i="37"/>
  <c r="M6" i="37"/>
  <c r="M15" i="37"/>
  <c r="M5" i="37"/>
  <c r="M4" i="37"/>
  <c r="M3" i="37"/>
  <c r="M2" i="37"/>
  <c r="M16" i="37" l="1"/>
  <c r="S16" i="7"/>
  <c r="AO2" i="5" l="1"/>
  <c r="AO3" i="5"/>
  <c r="AO4" i="5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N53" i="5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M2" i="6"/>
  <c r="M51" i="6" l="1"/>
  <c r="N51" i="6"/>
  <c r="AE53" i="5"/>
  <c r="AF53" i="5"/>
  <c r="AO53" i="5" s="1"/>
  <c r="AK53" i="5"/>
  <c r="AL53" i="5"/>
  <c r="A12" i="36" l="1"/>
  <c r="I256" i="28"/>
  <c r="I255" i="28"/>
  <c r="I254" i="28"/>
  <c r="A252" i="28"/>
  <c r="A250" i="28"/>
  <c r="A248" i="28"/>
  <c r="V246" i="28"/>
  <c r="V245" i="28"/>
  <c r="AR240" i="28"/>
  <c r="AR241" i="28" s="1"/>
  <c r="AR242" i="28" s="1"/>
  <c r="AR243" i="28" s="1"/>
  <c r="AR244" i="28" s="1"/>
  <c r="AR245" i="28" s="1"/>
  <c r="AR246" i="28" s="1"/>
  <c r="AR247" i="28" s="1"/>
  <c r="AR248" i="28" s="1"/>
  <c r="AR249" i="28" s="1"/>
  <c r="AR250" i="28" s="1"/>
  <c r="AR251" i="28" s="1"/>
  <c r="AR252" i="28" s="1"/>
  <c r="AR253" i="28" s="1"/>
  <c r="AR254" i="28" s="1"/>
  <c r="AR255" i="28" s="1"/>
  <c r="AR256" i="28" s="1"/>
  <c r="AR257" i="28" s="1"/>
  <c r="AR258" i="28" s="1"/>
  <c r="AR259" i="28" s="1"/>
  <c r="AR260" i="28" s="1"/>
  <c r="AR261" i="28" s="1"/>
  <c r="AR262" i="28" s="1"/>
  <c r="AR263" i="28" s="1"/>
  <c r="AR264" i="28" s="1"/>
  <c r="AR265" i="28" s="1"/>
  <c r="AR266" i="28" s="1"/>
  <c r="AR267" i="28" s="1"/>
  <c r="AR268" i="28" s="1"/>
  <c r="AR269" i="28" s="1"/>
  <c r="AR270" i="28" s="1"/>
  <c r="AR271" i="28" s="1"/>
  <c r="AR272" i="28" s="1"/>
  <c r="AI240" i="28"/>
  <c r="AI239" i="28"/>
  <c r="I222" i="28"/>
  <c r="I221" i="28"/>
  <c r="I220" i="28"/>
  <c r="A218" i="28"/>
  <c r="A216" i="28"/>
  <c r="A214" i="28"/>
  <c r="V212" i="28"/>
  <c r="V211" i="28"/>
  <c r="AR206" i="28"/>
  <c r="AR207" i="28" s="1"/>
  <c r="AR208" i="28" s="1"/>
  <c r="AR209" i="28" s="1"/>
  <c r="AR210" i="28" s="1"/>
  <c r="AR211" i="28" s="1"/>
  <c r="AR212" i="28" s="1"/>
  <c r="AR213" i="28" s="1"/>
  <c r="AR214" i="28" s="1"/>
  <c r="AR215" i="28" s="1"/>
  <c r="AR216" i="28" s="1"/>
  <c r="AR217" i="28" s="1"/>
  <c r="AR218" i="28" s="1"/>
  <c r="AR219" i="28" s="1"/>
  <c r="AR220" i="28" s="1"/>
  <c r="AR221" i="28" s="1"/>
  <c r="AR222" i="28" s="1"/>
  <c r="AR223" i="28" s="1"/>
  <c r="AR224" i="28" s="1"/>
  <c r="AR225" i="28" s="1"/>
  <c r="AR226" i="28" s="1"/>
  <c r="AR227" i="28" s="1"/>
  <c r="AR228" i="28" s="1"/>
  <c r="AR229" i="28" s="1"/>
  <c r="AR230" i="28" s="1"/>
  <c r="AR231" i="28" s="1"/>
  <c r="AR232" i="28" s="1"/>
  <c r="AR233" i="28" s="1"/>
  <c r="AR234" i="28" s="1"/>
  <c r="AR235" i="28" s="1"/>
  <c r="AR236" i="28" s="1"/>
  <c r="AR237" i="28" s="1"/>
  <c r="AR238" i="28" s="1"/>
  <c r="AI206" i="28"/>
  <c r="AI205" i="28"/>
  <c r="I188" i="28"/>
  <c r="I187" i="28"/>
  <c r="I186" i="28"/>
  <c r="A184" i="28"/>
  <c r="A182" i="28"/>
  <c r="A180" i="28"/>
  <c r="V178" i="28"/>
  <c r="V177" i="28"/>
  <c r="AR172" i="28"/>
  <c r="AR173" i="28" s="1"/>
  <c r="AR174" i="28" s="1"/>
  <c r="AR175" i="28" s="1"/>
  <c r="AR176" i="28" s="1"/>
  <c r="AR177" i="28" s="1"/>
  <c r="AR178" i="28" s="1"/>
  <c r="AR179" i="28" s="1"/>
  <c r="AR180" i="28" s="1"/>
  <c r="AR181" i="28" s="1"/>
  <c r="AR182" i="28" s="1"/>
  <c r="AR183" i="28" s="1"/>
  <c r="AR184" i="28" s="1"/>
  <c r="AR185" i="28" s="1"/>
  <c r="AR186" i="28" s="1"/>
  <c r="AR187" i="28" s="1"/>
  <c r="AR188" i="28" s="1"/>
  <c r="AR189" i="28" s="1"/>
  <c r="AR190" i="28" s="1"/>
  <c r="AR191" i="28" s="1"/>
  <c r="AR192" i="28" s="1"/>
  <c r="AR193" i="28" s="1"/>
  <c r="AR194" i="28" s="1"/>
  <c r="AR195" i="28" s="1"/>
  <c r="AR196" i="28" s="1"/>
  <c r="AR197" i="28" s="1"/>
  <c r="AR198" i="28" s="1"/>
  <c r="AR199" i="28" s="1"/>
  <c r="AR200" i="28" s="1"/>
  <c r="AR201" i="28" s="1"/>
  <c r="AR202" i="28" s="1"/>
  <c r="AR203" i="28" s="1"/>
  <c r="AR204" i="28" s="1"/>
  <c r="AI172" i="28"/>
  <c r="AI171" i="28"/>
  <c r="I154" i="28"/>
  <c r="I153" i="28"/>
  <c r="I152" i="28"/>
  <c r="A150" i="28"/>
  <c r="A148" i="28"/>
  <c r="A146" i="28"/>
  <c r="V144" i="28"/>
  <c r="V143" i="28"/>
  <c r="AR138" i="28"/>
  <c r="AR139" i="28" s="1"/>
  <c r="AR140" i="28" s="1"/>
  <c r="AR141" i="28" s="1"/>
  <c r="AR142" i="28" s="1"/>
  <c r="AR143" i="28" s="1"/>
  <c r="AR144" i="28" s="1"/>
  <c r="AR145" i="28" s="1"/>
  <c r="AR146" i="28" s="1"/>
  <c r="AR147" i="28" s="1"/>
  <c r="AR148" i="28" s="1"/>
  <c r="AR149" i="28" s="1"/>
  <c r="AR150" i="28" s="1"/>
  <c r="AR151" i="28" s="1"/>
  <c r="AR152" i="28" s="1"/>
  <c r="AR153" i="28" s="1"/>
  <c r="AR154" i="28" s="1"/>
  <c r="AR155" i="28" s="1"/>
  <c r="AR156" i="28" s="1"/>
  <c r="AR157" i="28" s="1"/>
  <c r="AR158" i="28" s="1"/>
  <c r="AR159" i="28" s="1"/>
  <c r="AR160" i="28" s="1"/>
  <c r="AR161" i="28" s="1"/>
  <c r="AR162" i="28" s="1"/>
  <c r="AR163" i="28" s="1"/>
  <c r="AR164" i="28" s="1"/>
  <c r="AR165" i="28" s="1"/>
  <c r="AR166" i="28" s="1"/>
  <c r="AR167" i="28" s="1"/>
  <c r="AR168" i="28" s="1"/>
  <c r="AR169" i="28" s="1"/>
  <c r="AR170" i="28" s="1"/>
  <c r="AI138" i="28"/>
  <c r="AI137" i="28"/>
  <c r="I120" i="28"/>
  <c r="I119" i="28"/>
  <c r="I118" i="28"/>
  <c r="A116" i="28"/>
  <c r="A114" i="28"/>
  <c r="A112" i="28"/>
  <c r="V110" i="28"/>
  <c r="V109" i="28"/>
  <c r="AR104" i="28"/>
  <c r="AR105" i="28" s="1"/>
  <c r="AR106" i="28" s="1"/>
  <c r="AR107" i="28" s="1"/>
  <c r="AR108" i="28" s="1"/>
  <c r="AR109" i="28" s="1"/>
  <c r="AR110" i="28" s="1"/>
  <c r="AR111" i="28" s="1"/>
  <c r="AR112" i="28" s="1"/>
  <c r="AR113" i="28" s="1"/>
  <c r="AR114" i="28" s="1"/>
  <c r="AR115" i="28" s="1"/>
  <c r="AR116" i="28" s="1"/>
  <c r="AR117" i="28" s="1"/>
  <c r="AR118" i="28" s="1"/>
  <c r="AR119" i="28" s="1"/>
  <c r="AR120" i="28" s="1"/>
  <c r="AR121" i="28" s="1"/>
  <c r="AR122" i="28" s="1"/>
  <c r="AR123" i="28" s="1"/>
  <c r="AR124" i="28" s="1"/>
  <c r="AR125" i="28" s="1"/>
  <c r="AR126" i="28" s="1"/>
  <c r="AR127" i="28" s="1"/>
  <c r="AR128" i="28" s="1"/>
  <c r="AR129" i="28" s="1"/>
  <c r="AR130" i="28" s="1"/>
  <c r="AR131" i="28" s="1"/>
  <c r="AR132" i="28" s="1"/>
  <c r="AR133" i="28" s="1"/>
  <c r="AR134" i="28" s="1"/>
  <c r="AR135" i="28" s="1"/>
  <c r="AR136" i="28" s="1"/>
  <c r="AI104" i="28"/>
  <c r="AI103" i="28"/>
  <c r="I86" i="28"/>
  <c r="I85" i="28"/>
  <c r="I84" i="28"/>
  <c r="A82" i="28"/>
  <c r="A80" i="28"/>
  <c r="A78" i="28"/>
  <c r="V76" i="28"/>
  <c r="V75" i="28"/>
  <c r="AR70" i="28"/>
  <c r="AR71" i="28" s="1"/>
  <c r="AR72" i="28" s="1"/>
  <c r="AR73" i="28" s="1"/>
  <c r="AR74" i="28" s="1"/>
  <c r="AR75" i="28" s="1"/>
  <c r="AR76" i="28" s="1"/>
  <c r="AR77" i="28" s="1"/>
  <c r="AR78" i="28" s="1"/>
  <c r="AR79" i="28" s="1"/>
  <c r="AR80" i="28" s="1"/>
  <c r="AR81" i="28" s="1"/>
  <c r="AR82" i="28" s="1"/>
  <c r="AR83" i="28" s="1"/>
  <c r="AR84" i="28" s="1"/>
  <c r="AR85" i="28" s="1"/>
  <c r="AR86" i="28" s="1"/>
  <c r="AR87" i="28" s="1"/>
  <c r="AR88" i="28" s="1"/>
  <c r="AR89" i="28" s="1"/>
  <c r="AR90" i="28" s="1"/>
  <c r="AR91" i="28" s="1"/>
  <c r="AR92" i="28" s="1"/>
  <c r="AR93" i="28" s="1"/>
  <c r="AR94" i="28" s="1"/>
  <c r="AR95" i="28" s="1"/>
  <c r="AR96" i="28" s="1"/>
  <c r="AR97" i="28" s="1"/>
  <c r="AR98" i="28" s="1"/>
  <c r="AR99" i="28" s="1"/>
  <c r="AR100" i="28" s="1"/>
  <c r="AR101" i="28" s="1"/>
  <c r="AR102" i="28" s="1"/>
  <c r="AI70" i="28"/>
  <c r="AI69" i="28"/>
  <c r="I52" i="28"/>
  <c r="I51" i="28"/>
  <c r="I50" i="28"/>
  <c r="A48" i="28"/>
  <c r="A46" i="28"/>
  <c r="A44" i="28"/>
  <c r="V42" i="28"/>
  <c r="V41" i="28"/>
  <c r="AI36" i="28"/>
  <c r="AI35" i="28"/>
  <c r="S18" i="16"/>
  <c r="S17" i="16"/>
  <c r="S16" i="16"/>
  <c r="S18" i="21"/>
  <c r="S17" i="21"/>
  <c r="S16" i="21"/>
  <c r="S18" i="22"/>
  <c r="S17" i="22"/>
  <c r="S16" i="22"/>
  <c r="S18" i="23"/>
  <c r="S17" i="23"/>
  <c r="S16" i="23"/>
  <c r="S18" i="24"/>
  <c r="S17" i="24"/>
  <c r="S16" i="24"/>
  <c r="S18" i="26"/>
  <c r="S17" i="26"/>
  <c r="S16" i="26"/>
  <c r="S18" i="25"/>
  <c r="S17" i="25"/>
  <c r="S16" i="25"/>
  <c r="S18" i="27"/>
  <c r="S17" i="27"/>
  <c r="S16" i="27"/>
  <c r="S18" i="28"/>
  <c r="S17" i="28"/>
  <c r="S16" i="28"/>
  <c r="S18" i="29"/>
  <c r="S17" i="29"/>
  <c r="S16" i="29"/>
  <c r="S18" i="30"/>
  <c r="S17" i="30"/>
  <c r="S16" i="30"/>
  <c r="S18" i="31"/>
  <c r="S17" i="31"/>
  <c r="S16" i="31"/>
  <c r="S18" i="32"/>
  <c r="S17" i="32"/>
  <c r="S16" i="32"/>
  <c r="S18" i="33"/>
  <c r="S17" i="33"/>
  <c r="S16" i="33"/>
  <c r="S18" i="34"/>
  <c r="S17" i="34"/>
  <c r="S16" i="34"/>
  <c r="S18" i="35"/>
  <c r="S17" i="35"/>
  <c r="S16" i="35"/>
  <c r="S18" i="36"/>
  <c r="S17" i="36"/>
  <c r="S16" i="36"/>
  <c r="S18" i="10"/>
  <c r="S17" i="10"/>
  <c r="S16" i="10"/>
  <c r="A5" i="16"/>
  <c r="A4" i="16"/>
  <c r="A5" i="21"/>
  <c r="A4" i="21"/>
  <c r="A5" i="22"/>
  <c r="A4" i="22"/>
  <c r="A5" i="23"/>
  <c r="A4" i="23"/>
  <c r="A5" i="24"/>
  <c r="A4" i="24"/>
  <c r="A5" i="26"/>
  <c r="A4" i="26"/>
  <c r="A5" i="25"/>
  <c r="A4" i="25"/>
  <c r="A5" i="27"/>
  <c r="A4" i="27"/>
  <c r="A5" i="28"/>
  <c r="A4" i="28"/>
  <c r="A5" i="29"/>
  <c r="A4" i="29"/>
  <c r="A5" i="30"/>
  <c r="A4" i="30"/>
  <c r="A5" i="31"/>
  <c r="A4" i="31"/>
  <c r="A5" i="32"/>
  <c r="A4" i="32"/>
  <c r="A5" i="33"/>
  <c r="A4" i="33"/>
  <c r="A5" i="34"/>
  <c r="A4" i="34"/>
  <c r="A5" i="35"/>
  <c r="A4" i="35"/>
  <c r="A5" i="36"/>
  <c r="A4" i="36"/>
  <c r="A5" i="10"/>
  <c r="A4" i="10"/>
  <c r="S18" i="7" l="1"/>
  <c r="S17" i="7"/>
  <c r="A5" i="7"/>
  <c r="A4" i="7"/>
  <c r="B51" i="6"/>
  <c r="I18" i="36" l="1"/>
  <c r="I17" i="36"/>
  <c r="I16" i="36"/>
  <c r="A14" i="36"/>
  <c r="A10" i="36"/>
  <c r="V8" i="36"/>
  <c r="V7" i="36"/>
  <c r="AR2" i="36"/>
  <c r="AR3" i="36" s="1"/>
  <c r="AR4" i="36" s="1"/>
  <c r="AR5" i="36" s="1"/>
  <c r="AR6" i="36" s="1"/>
  <c r="AR7" i="36" s="1"/>
  <c r="AR8" i="36" s="1"/>
  <c r="AR9" i="36" s="1"/>
  <c r="AR10" i="36" s="1"/>
  <c r="AR11" i="36" s="1"/>
  <c r="AR12" i="36" s="1"/>
  <c r="AR13" i="36" s="1"/>
  <c r="AR14" i="36" s="1"/>
  <c r="AR15" i="36" s="1"/>
  <c r="AR16" i="36" s="1"/>
  <c r="AR17" i="36" s="1"/>
  <c r="AR18" i="36" s="1"/>
  <c r="AR19" i="36" s="1"/>
  <c r="AR20" i="36" s="1"/>
  <c r="AR21" i="36" s="1"/>
  <c r="AR22" i="36" s="1"/>
  <c r="AR23" i="36" s="1"/>
  <c r="AR24" i="36" s="1"/>
  <c r="AR25" i="36" s="1"/>
  <c r="AR26" i="36" s="1"/>
  <c r="AR27" i="36" s="1"/>
  <c r="AR28" i="36" s="1"/>
  <c r="AR29" i="36" s="1"/>
  <c r="AR30" i="36" s="1"/>
  <c r="AR31" i="36" s="1"/>
  <c r="AR32" i="36" s="1"/>
  <c r="AR33" i="36" s="1"/>
  <c r="AR34" i="36" s="1"/>
  <c r="AI2" i="36"/>
  <c r="AI1" i="36"/>
  <c r="I188" i="35"/>
  <c r="I187" i="35"/>
  <c r="I186" i="35"/>
  <c r="A184" i="35"/>
  <c r="A182" i="35"/>
  <c r="A180" i="35"/>
  <c r="V178" i="35"/>
  <c r="V177" i="35"/>
  <c r="AR172" i="35"/>
  <c r="AR173" i="35" s="1"/>
  <c r="AR174" i="35" s="1"/>
  <c r="AR175" i="35" s="1"/>
  <c r="AR176" i="35" s="1"/>
  <c r="AR177" i="35" s="1"/>
  <c r="AR178" i="35" s="1"/>
  <c r="AR179" i="35" s="1"/>
  <c r="AR180" i="35" s="1"/>
  <c r="AR181" i="35" s="1"/>
  <c r="AR182" i="35" s="1"/>
  <c r="AR183" i="35" s="1"/>
  <c r="AR184" i="35" s="1"/>
  <c r="AR185" i="35" s="1"/>
  <c r="AR186" i="35" s="1"/>
  <c r="AR187" i="35" s="1"/>
  <c r="AR188" i="35" s="1"/>
  <c r="AR189" i="35" s="1"/>
  <c r="AR190" i="35" s="1"/>
  <c r="AR191" i="35" s="1"/>
  <c r="AR192" i="35" s="1"/>
  <c r="AR193" i="35" s="1"/>
  <c r="AR194" i="35" s="1"/>
  <c r="AR195" i="35" s="1"/>
  <c r="AR196" i="35" s="1"/>
  <c r="AR197" i="35" s="1"/>
  <c r="AR198" i="35" s="1"/>
  <c r="AR199" i="35" s="1"/>
  <c r="AR200" i="35" s="1"/>
  <c r="AR201" i="35" s="1"/>
  <c r="AR202" i="35" s="1"/>
  <c r="AR203" i="35" s="1"/>
  <c r="AR204" i="35" s="1"/>
  <c r="AI172" i="35"/>
  <c r="AI171" i="35"/>
  <c r="I154" i="35"/>
  <c r="I153" i="35"/>
  <c r="I152" i="35"/>
  <c r="A150" i="35"/>
  <c r="A148" i="35"/>
  <c r="A146" i="35"/>
  <c r="V144" i="35"/>
  <c r="V143" i="35"/>
  <c r="AR138" i="35"/>
  <c r="AR139" i="35" s="1"/>
  <c r="AR140" i="35" s="1"/>
  <c r="AR141" i="35" s="1"/>
  <c r="AR142" i="35" s="1"/>
  <c r="AR143" i="35" s="1"/>
  <c r="AR144" i="35" s="1"/>
  <c r="AR145" i="35" s="1"/>
  <c r="AR146" i="35" s="1"/>
  <c r="AR147" i="35" s="1"/>
  <c r="AR148" i="35" s="1"/>
  <c r="AR149" i="35" s="1"/>
  <c r="AR150" i="35" s="1"/>
  <c r="AR151" i="35" s="1"/>
  <c r="AR152" i="35" s="1"/>
  <c r="AR153" i="35" s="1"/>
  <c r="AR154" i="35" s="1"/>
  <c r="AR155" i="35" s="1"/>
  <c r="AR156" i="35" s="1"/>
  <c r="AR157" i="35" s="1"/>
  <c r="AR158" i="35" s="1"/>
  <c r="AR159" i="35" s="1"/>
  <c r="AR160" i="35" s="1"/>
  <c r="AR161" i="35" s="1"/>
  <c r="AR162" i="35" s="1"/>
  <c r="AR163" i="35" s="1"/>
  <c r="AR164" i="35" s="1"/>
  <c r="AR165" i="35" s="1"/>
  <c r="AR166" i="35" s="1"/>
  <c r="AR167" i="35" s="1"/>
  <c r="AR168" i="35" s="1"/>
  <c r="AR169" i="35" s="1"/>
  <c r="AR170" i="35" s="1"/>
  <c r="AI138" i="35"/>
  <c r="AI137" i="35"/>
  <c r="I120" i="35"/>
  <c r="I119" i="35"/>
  <c r="I118" i="35"/>
  <c r="A116" i="35"/>
  <c r="A114" i="35"/>
  <c r="A112" i="35"/>
  <c r="V110" i="35"/>
  <c r="V109" i="35"/>
  <c r="AR104" i="35"/>
  <c r="AR105" i="35" s="1"/>
  <c r="AR106" i="35" s="1"/>
  <c r="AR107" i="35" s="1"/>
  <c r="AR108" i="35" s="1"/>
  <c r="AR109" i="35" s="1"/>
  <c r="AR110" i="35" s="1"/>
  <c r="AR111" i="35" s="1"/>
  <c r="AR112" i="35" s="1"/>
  <c r="AR113" i="35" s="1"/>
  <c r="AR114" i="35" s="1"/>
  <c r="AR115" i="35" s="1"/>
  <c r="AR116" i="35" s="1"/>
  <c r="AR117" i="35" s="1"/>
  <c r="AR118" i="35" s="1"/>
  <c r="AR119" i="35" s="1"/>
  <c r="AR120" i="35" s="1"/>
  <c r="AR121" i="35" s="1"/>
  <c r="AR122" i="35" s="1"/>
  <c r="AR123" i="35" s="1"/>
  <c r="AR124" i="35" s="1"/>
  <c r="AR125" i="35" s="1"/>
  <c r="AR126" i="35" s="1"/>
  <c r="AR127" i="35" s="1"/>
  <c r="AR128" i="35" s="1"/>
  <c r="AR129" i="35" s="1"/>
  <c r="AR130" i="35" s="1"/>
  <c r="AR131" i="35" s="1"/>
  <c r="AR132" i="35" s="1"/>
  <c r="AR133" i="35" s="1"/>
  <c r="AR134" i="35" s="1"/>
  <c r="AR135" i="35" s="1"/>
  <c r="AR136" i="35" s="1"/>
  <c r="AI104" i="35"/>
  <c r="AI103" i="35"/>
  <c r="I86" i="35"/>
  <c r="I85" i="35"/>
  <c r="I84" i="35"/>
  <c r="A82" i="35"/>
  <c r="A80" i="35"/>
  <c r="A78" i="35"/>
  <c r="V76" i="35"/>
  <c r="V75" i="35"/>
  <c r="AR70" i="35"/>
  <c r="AR71" i="35" s="1"/>
  <c r="AR72" i="35" s="1"/>
  <c r="AR73" i="35" s="1"/>
  <c r="AR74" i="35" s="1"/>
  <c r="AR75" i="35" s="1"/>
  <c r="AR76" i="35" s="1"/>
  <c r="AR77" i="35" s="1"/>
  <c r="AR78" i="35" s="1"/>
  <c r="AR79" i="35" s="1"/>
  <c r="AR80" i="35" s="1"/>
  <c r="AR81" i="35" s="1"/>
  <c r="AR82" i="35" s="1"/>
  <c r="AR83" i="35" s="1"/>
  <c r="AR84" i="35" s="1"/>
  <c r="AR85" i="35" s="1"/>
  <c r="AR86" i="35" s="1"/>
  <c r="AR87" i="35" s="1"/>
  <c r="AR88" i="35" s="1"/>
  <c r="AR89" i="35" s="1"/>
  <c r="AR90" i="35" s="1"/>
  <c r="AR91" i="35" s="1"/>
  <c r="AR92" i="35" s="1"/>
  <c r="AR93" i="35" s="1"/>
  <c r="AR94" i="35" s="1"/>
  <c r="AR95" i="35" s="1"/>
  <c r="AR96" i="35" s="1"/>
  <c r="AR97" i="35" s="1"/>
  <c r="AR98" i="35" s="1"/>
  <c r="AR99" i="35" s="1"/>
  <c r="AR100" i="35" s="1"/>
  <c r="AR101" i="35" s="1"/>
  <c r="AR102" i="35" s="1"/>
  <c r="AI70" i="35"/>
  <c r="AI69" i="35"/>
  <c r="I52" i="35"/>
  <c r="I51" i="35"/>
  <c r="I50" i="35"/>
  <c r="A48" i="35"/>
  <c r="A46" i="35"/>
  <c r="A44" i="35"/>
  <c r="V42" i="35"/>
  <c r="V41" i="35"/>
  <c r="AV38" i="35"/>
  <c r="AR36" i="35"/>
  <c r="AR37" i="35" s="1"/>
  <c r="AR38" i="35" s="1"/>
  <c r="AR39" i="35" s="1"/>
  <c r="AR40" i="35" s="1"/>
  <c r="AR41" i="35" s="1"/>
  <c r="AR42" i="35" s="1"/>
  <c r="AR43" i="35" s="1"/>
  <c r="AR44" i="35" s="1"/>
  <c r="AR45" i="35" s="1"/>
  <c r="AR46" i="35" s="1"/>
  <c r="AR47" i="35" s="1"/>
  <c r="AR48" i="35" s="1"/>
  <c r="AR49" i="35" s="1"/>
  <c r="AR50" i="35" s="1"/>
  <c r="AR51" i="35" s="1"/>
  <c r="AR52" i="35" s="1"/>
  <c r="AR53" i="35" s="1"/>
  <c r="AR54" i="35" s="1"/>
  <c r="AR55" i="35" s="1"/>
  <c r="AR56" i="35" s="1"/>
  <c r="AR57" i="35" s="1"/>
  <c r="AR58" i="35" s="1"/>
  <c r="AR59" i="35" s="1"/>
  <c r="AR60" i="35" s="1"/>
  <c r="AR61" i="35" s="1"/>
  <c r="AR62" i="35" s="1"/>
  <c r="AR63" i="35" s="1"/>
  <c r="AR64" i="35" s="1"/>
  <c r="AR65" i="35" s="1"/>
  <c r="AR66" i="35" s="1"/>
  <c r="AR67" i="35" s="1"/>
  <c r="AR68" i="35" s="1"/>
  <c r="AI36" i="35"/>
  <c r="AI35" i="35"/>
  <c r="I18" i="35"/>
  <c r="I17" i="35"/>
  <c r="I16" i="35"/>
  <c r="A14" i="35"/>
  <c r="A12" i="35"/>
  <c r="A10" i="35"/>
  <c r="V8" i="35"/>
  <c r="V7" i="35"/>
  <c r="AR2" i="35"/>
  <c r="AR3" i="35" s="1"/>
  <c r="AR4" i="35" s="1"/>
  <c r="AR5" i="35" s="1"/>
  <c r="AR6" i="35" s="1"/>
  <c r="AR7" i="35" s="1"/>
  <c r="AR8" i="35" s="1"/>
  <c r="AR9" i="35" s="1"/>
  <c r="AR10" i="35" s="1"/>
  <c r="AR11" i="35" s="1"/>
  <c r="AR12" i="35" s="1"/>
  <c r="AR13" i="35" s="1"/>
  <c r="AR14" i="35" s="1"/>
  <c r="AR15" i="35" s="1"/>
  <c r="AR16" i="35" s="1"/>
  <c r="AR17" i="35" s="1"/>
  <c r="AR18" i="35" s="1"/>
  <c r="AR19" i="35" s="1"/>
  <c r="AR20" i="35" s="1"/>
  <c r="AR21" i="35" s="1"/>
  <c r="AR22" i="35" s="1"/>
  <c r="AR23" i="35" s="1"/>
  <c r="AR24" i="35" s="1"/>
  <c r="AR25" i="35" s="1"/>
  <c r="AR26" i="35" s="1"/>
  <c r="AR27" i="35" s="1"/>
  <c r="AR28" i="35" s="1"/>
  <c r="AR29" i="35" s="1"/>
  <c r="AR30" i="35" s="1"/>
  <c r="AR31" i="35" s="1"/>
  <c r="AR32" i="35" s="1"/>
  <c r="AR33" i="35" s="1"/>
  <c r="AR34" i="35" s="1"/>
  <c r="AI2" i="35"/>
  <c r="AI1" i="35"/>
  <c r="I86" i="34"/>
  <c r="I85" i="34"/>
  <c r="I84" i="34"/>
  <c r="A82" i="34"/>
  <c r="A80" i="34"/>
  <c r="A78" i="34"/>
  <c r="V76" i="34"/>
  <c r="V75" i="34"/>
  <c r="AR70" i="34"/>
  <c r="AR71" i="34" s="1"/>
  <c r="AR72" i="34" s="1"/>
  <c r="AR73" i="34" s="1"/>
  <c r="AR74" i="34" s="1"/>
  <c r="AR75" i="34" s="1"/>
  <c r="AR76" i="34" s="1"/>
  <c r="AR77" i="34" s="1"/>
  <c r="AR78" i="34" s="1"/>
  <c r="AR79" i="34" s="1"/>
  <c r="AR80" i="34" s="1"/>
  <c r="AR81" i="34" s="1"/>
  <c r="AR82" i="34" s="1"/>
  <c r="AR83" i="34" s="1"/>
  <c r="AR84" i="34" s="1"/>
  <c r="AR85" i="34" s="1"/>
  <c r="AR86" i="34" s="1"/>
  <c r="AR87" i="34" s="1"/>
  <c r="AR88" i="34" s="1"/>
  <c r="AR89" i="34" s="1"/>
  <c r="AR90" i="34" s="1"/>
  <c r="AR91" i="34" s="1"/>
  <c r="AR92" i="34" s="1"/>
  <c r="AR93" i="34" s="1"/>
  <c r="AR94" i="34" s="1"/>
  <c r="AR95" i="34" s="1"/>
  <c r="AR96" i="34" s="1"/>
  <c r="AR97" i="34" s="1"/>
  <c r="AR98" i="34" s="1"/>
  <c r="AR99" i="34" s="1"/>
  <c r="AR100" i="34" s="1"/>
  <c r="AR101" i="34" s="1"/>
  <c r="AR102" i="34" s="1"/>
  <c r="AI70" i="34"/>
  <c r="AI69" i="34"/>
  <c r="I52" i="34"/>
  <c r="I51" i="34"/>
  <c r="I50" i="34"/>
  <c r="A48" i="34"/>
  <c r="A46" i="34"/>
  <c r="A44" i="34"/>
  <c r="V42" i="34"/>
  <c r="V41" i="34"/>
  <c r="AV38" i="34"/>
  <c r="AR36" i="34"/>
  <c r="AR37" i="34" s="1"/>
  <c r="AR38" i="34" s="1"/>
  <c r="AR39" i="34" s="1"/>
  <c r="AR40" i="34" s="1"/>
  <c r="AR41" i="34" s="1"/>
  <c r="AR42" i="34" s="1"/>
  <c r="AR43" i="34" s="1"/>
  <c r="AR44" i="34" s="1"/>
  <c r="AR45" i="34" s="1"/>
  <c r="AR46" i="34" s="1"/>
  <c r="AR47" i="34" s="1"/>
  <c r="AR48" i="34" s="1"/>
  <c r="AR49" i="34" s="1"/>
  <c r="AR50" i="34" s="1"/>
  <c r="AR51" i="34" s="1"/>
  <c r="AR52" i="34" s="1"/>
  <c r="AR53" i="34" s="1"/>
  <c r="AR54" i="34" s="1"/>
  <c r="AR55" i="34" s="1"/>
  <c r="AR56" i="34" s="1"/>
  <c r="AR57" i="34" s="1"/>
  <c r="AR58" i="34" s="1"/>
  <c r="AR59" i="34" s="1"/>
  <c r="AR60" i="34" s="1"/>
  <c r="AR61" i="34" s="1"/>
  <c r="AR62" i="34" s="1"/>
  <c r="AR63" i="34" s="1"/>
  <c r="AR64" i="34" s="1"/>
  <c r="AR65" i="34" s="1"/>
  <c r="AR66" i="34" s="1"/>
  <c r="AR67" i="34" s="1"/>
  <c r="AR68" i="34" s="1"/>
  <c r="AI36" i="34"/>
  <c r="AI35" i="34"/>
  <c r="I18" i="34"/>
  <c r="I17" i="34"/>
  <c r="I16" i="34"/>
  <c r="A14" i="34"/>
  <c r="A12" i="34"/>
  <c r="A10" i="34"/>
  <c r="V8" i="34"/>
  <c r="V7" i="34"/>
  <c r="AR2" i="34"/>
  <c r="AR3" i="34" s="1"/>
  <c r="AR4" i="34" s="1"/>
  <c r="AR5" i="34" s="1"/>
  <c r="AR6" i="34" s="1"/>
  <c r="AR7" i="34" s="1"/>
  <c r="AR8" i="34" s="1"/>
  <c r="AR9" i="34" s="1"/>
  <c r="AR10" i="34" s="1"/>
  <c r="AR11" i="34" s="1"/>
  <c r="AR12" i="34" s="1"/>
  <c r="AR13" i="34" s="1"/>
  <c r="AR14" i="34" s="1"/>
  <c r="AR15" i="34" s="1"/>
  <c r="AR16" i="34" s="1"/>
  <c r="AR17" i="34" s="1"/>
  <c r="AR18" i="34" s="1"/>
  <c r="AR19" i="34" s="1"/>
  <c r="AR20" i="34" s="1"/>
  <c r="AR21" i="34" s="1"/>
  <c r="AR22" i="34" s="1"/>
  <c r="AR23" i="34" s="1"/>
  <c r="AR24" i="34" s="1"/>
  <c r="AR25" i="34" s="1"/>
  <c r="AR26" i="34" s="1"/>
  <c r="AR27" i="34" s="1"/>
  <c r="AR28" i="34" s="1"/>
  <c r="AR29" i="34" s="1"/>
  <c r="AR30" i="34" s="1"/>
  <c r="AR31" i="34" s="1"/>
  <c r="AR32" i="34" s="1"/>
  <c r="AR33" i="34" s="1"/>
  <c r="AR34" i="34" s="1"/>
  <c r="AI2" i="34"/>
  <c r="AI1" i="34"/>
  <c r="I18" i="33"/>
  <c r="I17" i="33"/>
  <c r="I16" i="33"/>
  <c r="A14" i="33"/>
  <c r="A12" i="33"/>
  <c r="A10" i="33"/>
  <c r="V8" i="33"/>
  <c r="V7" i="33"/>
  <c r="AR2" i="33"/>
  <c r="AR3" i="33" s="1"/>
  <c r="AR4" i="33" s="1"/>
  <c r="AR5" i="33" s="1"/>
  <c r="AR6" i="33" s="1"/>
  <c r="AR7" i="33" s="1"/>
  <c r="AR8" i="33" s="1"/>
  <c r="AR9" i="33" s="1"/>
  <c r="AR10" i="33" s="1"/>
  <c r="AR11" i="33" s="1"/>
  <c r="AR12" i="33" s="1"/>
  <c r="AR13" i="33" s="1"/>
  <c r="AR14" i="33" s="1"/>
  <c r="AR15" i="33" s="1"/>
  <c r="AR16" i="33" s="1"/>
  <c r="AR17" i="33" s="1"/>
  <c r="AR18" i="33" s="1"/>
  <c r="AR19" i="33" s="1"/>
  <c r="AR20" i="33" s="1"/>
  <c r="AR21" i="33" s="1"/>
  <c r="AR22" i="33" s="1"/>
  <c r="AR23" i="33" s="1"/>
  <c r="AR24" i="33" s="1"/>
  <c r="AR25" i="33" s="1"/>
  <c r="AR26" i="33" s="1"/>
  <c r="AR27" i="33" s="1"/>
  <c r="AR28" i="33" s="1"/>
  <c r="AR29" i="33" s="1"/>
  <c r="AR30" i="33" s="1"/>
  <c r="AR31" i="33" s="1"/>
  <c r="AR32" i="33" s="1"/>
  <c r="AR33" i="33" s="1"/>
  <c r="AR34" i="33" s="1"/>
  <c r="AI2" i="33"/>
  <c r="AI1" i="33"/>
  <c r="I120" i="32"/>
  <c r="I119" i="32"/>
  <c r="I118" i="32"/>
  <c r="A116" i="32"/>
  <c r="A114" i="32"/>
  <c r="A112" i="32"/>
  <c r="V110" i="32"/>
  <c r="V109" i="32"/>
  <c r="AR104" i="32"/>
  <c r="AR105" i="32" s="1"/>
  <c r="AR106" i="32" s="1"/>
  <c r="AR107" i="32" s="1"/>
  <c r="AR108" i="32" s="1"/>
  <c r="AR109" i="32" s="1"/>
  <c r="AR110" i="32" s="1"/>
  <c r="AR111" i="32" s="1"/>
  <c r="AR112" i="32" s="1"/>
  <c r="AR113" i="32" s="1"/>
  <c r="AR114" i="32" s="1"/>
  <c r="AR115" i="32" s="1"/>
  <c r="AR116" i="32" s="1"/>
  <c r="AR117" i="32" s="1"/>
  <c r="AR118" i="32" s="1"/>
  <c r="AR119" i="32" s="1"/>
  <c r="AR120" i="32" s="1"/>
  <c r="AR121" i="32" s="1"/>
  <c r="AR122" i="32" s="1"/>
  <c r="AR123" i="32" s="1"/>
  <c r="AR124" i="32" s="1"/>
  <c r="AR125" i="32" s="1"/>
  <c r="AR126" i="32" s="1"/>
  <c r="AR127" i="32" s="1"/>
  <c r="AR128" i="32" s="1"/>
  <c r="AR129" i="32" s="1"/>
  <c r="AR130" i="32" s="1"/>
  <c r="AR131" i="32" s="1"/>
  <c r="AR132" i="32" s="1"/>
  <c r="AR133" i="32" s="1"/>
  <c r="AR134" i="32" s="1"/>
  <c r="AR135" i="32" s="1"/>
  <c r="AR136" i="32" s="1"/>
  <c r="AI104" i="32"/>
  <c r="AI103" i="32"/>
  <c r="I86" i="32"/>
  <c r="I85" i="32"/>
  <c r="I84" i="32"/>
  <c r="A82" i="32"/>
  <c r="A80" i="32"/>
  <c r="A78" i="32"/>
  <c r="V76" i="32"/>
  <c r="V75" i="32"/>
  <c r="AR70" i="32"/>
  <c r="AR71" i="32" s="1"/>
  <c r="AR72" i="32" s="1"/>
  <c r="AR73" i="32" s="1"/>
  <c r="AR74" i="32" s="1"/>
  <c r="AR75" i="32" s="1"/>
  <c r="AR76" i="32" s="1"/>
  <c r="AR77" i="32" s="1"/>
  <c r="AR78" i="32" s="1"/>
  <c r="AR79" i="32" s="1"/>
  <c r="AR80" i="32" s="1"/>
  <c r="AR81" i="32" s="1"/>
  <c r="AR82" i="32" s="1"/>
  <c r="AR83" i="32" s="1"/>
  <c r="AR84" i="32" s="1"/>
  <c r="AR85" i="32" s="1"/>
  <c r="AR86" i="32" s="1"/>
  <c r="AR87" i="32" s="1"/>
  <c r="AR88" i="32" s="1"/>
  <c r="AR89" i="32" s="1"/>
  <c r="AR90" i="32" s="1"/>
  <c r="AR91" i="32" s="1"/>
  <c r="AR92" i="32" s="1"/>
  <c r="AR93" i="32" s="1"/>
  <c r="AR94" i="32" s="1"/>
  <c r="AR95" i="32" s="1"/>
  <c r="AR96" i="32" s="1"/>
  <c r="AR97" i="32" s="1"/>
  <c r="AR98" i="32" s="1"/>
  <c r="AR99" i="32" s="1"/>
  <c r="AR100" i="32" s="1"/>
  <c r="AR101" i="32" s="1"/>
  <c r="AR102" i="32" s="1"/>
  <c r="AI70" i="32"/>
  <c r="AI69" i="32"/>
  <c r="I52" i="32"/>
  <c r="I51" i="32"/>
  <c r="I50" i="32"/>
  <c r="A48" i="32"/>
  <c r="A46" i="32"/>
  <c r="A44" i="32"/>
  <c r="V42" i="32"/>
  <c r="V41" i="32"/>
  <c r="AV38" i="32"/>
  <c r="AR36" i="32"/>
  <c r="AR37" i="32" s="1"/>
  <c r="AR38" i="32" s="1"/>
  <c r="AR39" i="32" s="1"/>
  <c r="AR40" i="32" s="1"/>
  <c r="AR41" i="32" s="1"/>
  <c r="AR42" i="32" s="1"/>
  <c r="AR43" i="32" s="1"/>
  <c r="AR44" i="32" s="1"/>
  <c r="AR45" i="32" s="1"/>
  <c r="AR46" i="32" s="1"/>
  <c r="AR47" i="32" s="1"/>
  <c r="AR48" i="32" s="1"/>
  <c r="AR49" i="32" s="1"/>
  <c r="AR50" i="32" s="1"/>
  <c r="AR51" i="32" s="1"/>
  <c r="AR52" i="32" s="1"/>
  <c r="AR53" i="32" s="1"/>
  <c r="AR54" i="32" s="1"/>
  <c r="AR55" i="32" s="1"/>
  <c r="AR56" i="32" s="1"/>
  <c r="AR57" i="32" s="1"/>
  <c r="AR58" i="32" s="1"/>
  <c r="AR59" i="32" s="1"/>
  <c r="AR60" i="32" s="1"/>
  <c r="AR61" i="32" s="1"/>
  <c r="AR62" i="32" s="1"/>
  <c r="AR63" i="32" s="1"/>
  <c r="AR64" i="32" s="1"/>
  <c r="AR65" i="32" s="1"/>
  <c r="AR66" i="32" s="1"/>
  <c r="AR67" i="32" s="1"/>
  <c r="AR68" i="32" s="1"/>
  <c r="AI36" i="32"/>
  <c r="AI35" i="32"/>
  <c r="I18" i="32"/>
  <c r="I17" i="32"/>
  <c r="I16" i="32"/>
  <c r="A14" i="32"/>
  <c r="A12" i="32"/>
  <c r="A10" i="32"/>
  <c r="V8" i="32"/>
  <c r="V7" i="32"/>
  <c r="AR2" i="32"/>
  <c r="AR3" i="32" s="1"/>
  <c r="AR4" i="32" s="1"/>
  <c r="AR5" i="32" s="1"/>
  <c r="AR6" i="32" s="1"/>
  <c r="AR7" i="32" s="1"/>
  <c r="AR8" i="32" s="1"/>
  <c r="AR9" i="32" s="1"/>
  <c r="AR10" i="32" s="1"/>
  <c r="AR11" i="32" s="1"/>
  <c r="AR12" i="32" s="1"/>
  <c r="AR13" i="32" s="1"/>
  <c r="AR14" i="32" s="1"/>
  <c r="AR15" i="32" s="1"/>
  <c r="AR16" i="32" s="1"/>
  <c r="AR17" i="32" s="1"/>
  <c r="AR18" i="32" s="1"/>
  <c r="AR19" i="32" s="1"/>
  <c r="AR20" i="32" s="1"/>
  <c r="AR21" i="32" s="1"/>
  <c r="AR22" i="32" s="1"/>
  <c r="AR23" i="32" s="1"/>
  <c r="AR24" i="32" s="1"/>
  <c r="AR25" i="32" s="1"/>
  <c r="AR26" i="32" s="1"/>
  <c r="AR27" i="32" s="1"/>
  <c r="AR28" i="32" s="1"/>
  <c r="AR29" i="32" s="1"/>
  <c r="AR30" i="32" s="1"/>
  <c r="AR31" i="32" s="1"/>
  <c r="AR32" i="32" s="1"/>
  <c r="AR33" i="32" s="1"/>
  <c r="AR34" i="32" s="1"/>
  <c r="AI2" i="32"/>
  <c r="AI1" i="32"/>
  <c r="I52" i="31"/>
  <c r="I51" i="31"/>
  <c r="I50" i="31"/>
  <c r="A48" i="31"/>
  <c r="A46" i="31"/>
  <c r="A44" i="31"/>
  <c r="V42" i="31"/>
  <c r="V41" i="31"/>
  <c r="AV38" i="31"/>
  <c r="AR36" i="31"/>
  <c r="AR37" i="31" s="1"/>
  <c r="AR38" i="31" s="1"/>
  <c r="AR39" i="31" s="1"/>
  <c r="AR40" i="31" s="1"/>
  <c r="AR41" i="31" s="1"/>
  <c r="AR42" i="31" s="1"/>
  <c r="AR43" i="31" s="1"/>
  <c r="AR44" i="31" s="1"/>
  <c r="AR45" i="31" s="1"/>
  <c r="AR46" i="31" s="1"/>
  <c r="AR47" i="31" s="1"/>
  <c r="AR48" i="31" s="1"/>
  <c r="AR49" i="31" s="1"/>
  <c r="AR50" i="31" s="1"/>
  <c r="AR51" i="31" s="1"/>
  <c r="AR52" i="31" s="1"/>
  <c r="AR53" i="31" s="1"/>
  <c r="AR54" i="31" s="1"/>
  <c r="AR55" i="31" s="1"/>
  <c r="AR56" i="31" s="1"/>
  <c r="AR57" i="31" s="1"/>
  <c r="AR58" i="31" s="1"/>
  <c r="AR59" i="31" s="1"/>
  <c r="AR60" i="31" s="1"/>
  <c r="AR61" i="31" s="1"/>
  <c r="AR62" i="31" s="1"/>
  <c r="AR63" i="31" s="1"/>
  <c r="AR64" i="31" s="1"/>
  <c r="AR65" i="31" s="1"/>
  <c r="AR66" i="31" s="1"/>
  <c r="AR67" i="31" s="1"/>
  <c r="AR68" i="31" s="1"/>
  <c r="AI36" i="31"/>
  <c r="AI35" i="31"/>
  <c r="I18" i="31"/>
  <c r="I17" i="31"/>
  <c r="I16" i="31"/>
  <c r="A14" i="31"/>
  <c r="A12" i="31"/>
  <c r="A10" i="31"/>
  <c r="V8" i="31"/>
  <c r="V7" i="31"/>
  <c r="AR2" i="31"/>
  <c r="AR3" i="31" s="1"/>
  <c r="AR4" i="31" s="1"/>
  <c r="AR5" i="31" s="1"/>
  <c r="AR6" i="31" s="1"/>
  <c r="AR7" i="31" s="1"/>
  <c r="AR8" i="31" s="1"/>
  <c r="AR9" i="31" s="1"/>
  <c r="AR10" i="31" s="1"/>
  <c r="AR11" i="31" s="1"/>
  <c r="AR12" i="31" s="1"/>
  <c r="AR13" i="31" s="1"/>
  <c r="AR14" i="31" s="1"/>
  <c r="AR15" i="31" s="1"/>
  <c r="AR16" i="31" s="1"/>
  <c r="AR17" i="31" s="1"/>
  <c r="AR18" i="31" s="1"/>
  <c r="AR19" i="31" s="1"/>
  <c r="AR20" i="31" s="1"/>
  <c r="AR21" i="31" s="1"/>
  <c r="AR22" i="31" s="1"/>
  <c r="AR23" i="31" s="1"/>
  <c r="AR24" i="31" s="1"/>
  <c r="AR25" i="31" s="1"/>
  <c r="AR26" i="31" s="1"/>
  <c r="AR27" i="31" s="1"/>
  <c r="AR28" i="31" s="1"/>
  <c r="AR29" i="31" s="1"/>
  <c r="AR30" i="31" s="1"/>
  <c r="AR31" i="31" s="1"/>
  <c r="AR32" i="31" s="1"/>
  <c r="AR33" i="31" s="1"/>
  <c r="AR34" i="31" s="1"/>
  <c r="AI2" i="31"/>
  <c r="AI1" i="31"/>
  <c r="I18" i="30"/>
  <c r="I17" i="30"/>
  <c r="I16" i="30"/>
  <c r="A14" i="30"/>
  <c r="A12" i="30"/>
  <c r="A10" i="30"/>
  <c r="V8" i="30"/>
  <c r="V7" i="30"/>
  <c r="AR2" i="30"/>
  <c r="AR3" i="30" s="1"/>
  <c r="AR4" i="30" s="1"/>
  <c r="AR5" i="30" s="1"/>
  <c r="AR6" i="30" s="1"/>
  <c r="AR7" i="30" s="1"/>
  <c r="AR8" i="30" s="1"/>
  <c r="AR9" i="30" s="1"/>
  <c r="AR10" i="30" s="1"/>
  <c r="AR11" i="30" s="1"/>
  <c r="AR12" i="30" s="1"/>
  <c r="AR13" i="30" s="1"/>
  <c r="AR14" i="30" s="1"/>
  <c r="AR15" i="30" s="1"/>
  <c r="AR16" i="30" s="1"/>
  <c r="AR17" i="30" s="1"/>
  <c r="AR18" i="30" s="1"/>
  <c r="AR19" i="30" s="1"/>
  <c r="AR20" i="30" s="1"/>
  <c r="AR21" i="30" s="1"/>
  <c r="AR22" i="30" s="1"/>
  <c r="AR23" i="30" s="1"/>
  <c r="AR24" i="30" s="1"/>
  <c r="AR25" i="30" s="1"/>
  <c r="AR26" i="30" s="1"/>
  <c r="AR27" i="30" s="1"/>
  <c r="AR28" i="30" s="1"/>
  <c r="AR29" i="30" s="1"/>
  <c r="AR30" i="30" s="1"/>
  <c r="AR31" i="30" s="1"/>
  <c r="AR32" i="30" s="1"/>
  <c r="AR33" i="30" s="1"/>
  <c r="AR34" i="30" s="1"/>
  <c r="AI2" i="30"/>
  <c r="AI1" i="30"/>
  <c r="I18" i="29"/>
  <c r="I17" i="29"/>
  <c r="I16" i="29"/>
  <c r="A14" i="29"/>
  <c r="A12" i="29"/>
  <c r="A10" i="29"/>
  <c r="V8" i="29"/>
  <c r="V7" i="29"/>
  <c r="AR2" i="29"/>
  <c r="AR3" i="29" s="1"/>
  <c r="AR4" i="29" s="1"/>
  <c r="AR5" i="29" s="1"/>
  <c r="AR6" i="29" s="1"/>
  <c r="AR7" i="29" s="1"/>
  <c r="AR8" i="29" s="1"/>
  <c r="AR9" i="29" s="1"/>
  <c r="AR10" i="29" s="1"/>
  <c r="AR11" i="29" s="1"/>
  <c r="AR12" i="29" s="1"/>
  <c r="AR13" i="29" s="1"/>
  <c r="AR14" i="29" s="1"/>
  <c r="AR15" i="29" s="1"/>
  <c r="AR16" i="29" s="1"/>
  <c r="AR17" i="29" s="1"/>
  <c r="AR18" i="29" s="1"/>
  <c r="AR19" i="29" s="1"/>
  <c r="AR20" i="29" s="1"/>
  <c r="AR21" i="29" s="1"/>
  <c r="AR22" i="29" s="1"/>
  <c r="AR23" i="29" s="1"/>
  <c r="AR24" i="29" s="1"/>
  <c r="AR25" i="29" s="1"/>
  <c r="AR26" i="29" s="1"/>
  <c r="AR27" i="29" s="1"/>
  <c r="AR28" i="29" s="1"/>
  <c r="AR29" i="29" s="1"/>
  <c r="AR30" i="29" s="1"/>
  <c r="AR31" i="29" s="1"/>
  <c r="AR32" i="29" s="1"/>
  <c r="AR33" i="29" s="1"/>
  <c r="AR34" i="29" s="1"/>
  <c r="AI2" i="29"/>
  <c r="AI1" i="29"/>
  <c r="AV38" i="28"/>
  <c r="AV72" i="28" s="1"/>
  <c r="AR36" i="28"/>
  <c r="AR37" i="28" s="1"/>
  <c r="AR38" i="28" s="1"/>
  <c r="AR39" i="28" s="1"/>
  <c r="AR40" i="28" s="1"/>
  <c r="AR41" i="28" s="1"/>
  <c r="AR42" i="28" s="1"/>
  <c r="AR43" i="28" s="1"/>
  <c r="AR44" i="28" s="1"/>
  <c r="AR45" i="28" s="1"/>
  <c r="AR46" i="28" s="1"/>
  <c r="AR47" i="28" s="1"/>
  <c r="AR48" i="28" s="1"/>
  <c r="AR49" i="28" s="1"/>
  <c r="AR50" i="28" s="1"/>
  <c r="AR51" i="28" s="1"/>
  <c r="AR52" i="28" s="1"/>
  <c r="AR53" i="28" s="1"/>
  <c r="AR54" i="28" s="1"/>
  <c r="AR55" i="28" s="1"/>
  <c r="AR56" i="28" s="1"/>
  <c r="AR57" i="28" s="1"/>
  <c r="AR58" i="28" s="1"/>
  <c r="AR59" i="28" s="1"/>
  <c r="AR60" i="28" s="1"/>
  <c r="AR61" i="28" s="1"/>
  <c r="AR62" i="28" s="1"/>
  <c r="AR63" i="28" s="1"/>
  <c r="AR64" i="28" s="1"/>
  <c r="AR65" i="28" s="1"/>
  <c r="AR66" i="28" s="1"/>
  <c r="AR67" i="28" s="1"/>
  <c r="AR68" i="28" s="1"/>
  <c r="I18" i="28"/>
  <c r="I17" i="28"/>
  <c r="I16" i="28"/>
  <c r="A14" i="28"/>
  <c r="A12" i="28"/>
  <c r="A10" i="28"/>
  <c r="V8" i="28"/>
  <c r="V7" i="28"/>
  <c r="AR2" i="28"/>
  <c r="AR3" i="28" s="1"/>
  <c r="AR4" i="28" s="1"/>
  <c r="AR5" i="28" s="1"/>
  <c r="AR6" i="28" s="1"/>
  <c r="AR7" i="28" s="1"/>
  <c r="AR8" i="28" s="1"/>
  <c r="AR9" i="28" s="1"/>
  <c r="AR10" i="28" s="1"/>
  <c r="AR11" i="28" s="1"/>
  <c r="AR12" i="28" s="1"/>
  <c r="AR13" i="28" s="1"/>
  <c r="AR14" i="28" s="1"/>
  <c r="AR15" i="28" s="1"/>
  <c r="AR16" i="28" s="1"/>
  <c r="AR17" i="28" s="1"/>
  <c r="AR18" i="28" s="1"/>
  <c r="AR19" i="28" s="1"/>
  <c r="AR20" i="28" s="1"/>
  <c r="AR21" i="28" s="1"/>
  <c r="AR22" i="28" s="1"/>
  <c r="AR23" i="28" s="1"/>
  <c r="AR24" i="28" s="1"/>
  <c r="AR25" i="28" s="1"/>
  <c r="AR26" i="28" s="1"/>
  <c r="AR27" i="28" s="1"/>
  <c r="AR28" i="28" s="1"/>
  <c r="AR29" i="28" s="1"/>
  <c r="AR30" i="28" s="1"/>
  <c r="AR31" i="28" s="1"/>
  <c r="AR32" i="28" s="1"/>
  <c r="AR33" i="28" s="1"/>
  <c r="AR34" i="28" s="1"/>
  <c r="AI2" i="28"/>
  <c r="AI1" i="28"/>
  <c r="I18" i="27"/>
  <c r="I17" i="27"/>
  <c r="I16" i="27"/>
  <c r="A14" i="27"/>
  <c r="A12" i="27"/>
  <c r="A10" i="27"/>
  <c r="V8" i="27"/>
  <c r="V7" i="27"/>
  <c r="AR2" i="27"/>
  <c r="AR3" i="27" s="1"/>
  <c r="AR4" i="27" s="1"/>
  <c r="AR5" i="27" s="1"/>
  <c r="AR6" i="27" s="1"/>
  <c r="AR7" i="27" s="1"/>
  <c r="AR8" i="27" s="1"/>
  <c r="AR9" i="27" s="1"/>
  <c r="AR10" i="27" s="1"/>
  <c r="AR11" i="27" s="1"/>
  <c r="AR12" i="27" s="1"/>
  <c r="AR13" i="27" s="1"/>
  <c r="AR14" i="27" s="1"/>
  <c r="AR15" i="27" s="1"/>
  <c r="AR16" i="27" s="1"/>
  <c r="AR17" i="27" s="1"/>
  <c r="AR18" i="27" s="1"/>
  <c r="AR19" i="27" s="1"/>
  <c r="AR20" i="27" s="1"/>
  <c r="AR21" i="27" s="1"/>
  <c r="AR22" i="27" s="1"/>
  <c r="AR23" i="27" s="1"/>
  <c r="AR24" i="27" s="1"/>
  <c r="AR25" i="27" s="1"/>
  <c r="AR26" i="27" s="1"/>
  <c r="AR27" i="27" s="1"/>
  <c r="AR28" i="27" s="1"/>
  <c r="AR29" i="27" s="1"/>
  <c r="AR30" i="27" s="1"/>
  <c r="AR31" i="27" s="1"/>
  <c r="AR32" i="27" s="1"/>
  <c r="AR33" i="27" s="1"/>
  <c r="AR34" i="27" s="1"/>
  <c r="AI2" i="27"/>
  <c r="AI1" i="27"/>
  <c r="I18" i="26"/>
  <c r="I17" i="26"/>
  <c r="I16" i="26"/>
  <c r="A14" i="26"/>
  <c r="A12" i="26"/>
  <c r="A10" i="26"/>
  <c r="V8" i="26"/>
  <c r="V7" i="26"/>
  <c r="AR2" i="26"/>
  <c r="AR3" i="26" s="1"/>
  <c r="AR4" i="26" s="1"/>
  <c r="AR5" i="26" s="1"/>
  <c r="AR6" i="26" s="1"/>
  <c r="AR7" i="26" s="1"/>
  <c r="AR8" i="26" s="1"/>
  <c r="AR9" i="26" s="1"/>
  <c r="AR10" i="26" s="1"/>
  <c r="AR11" i="26" s="1"/>
  <c r="AR12" i="26" s="1"/>
  <c r="AR13" i="26" s="1"/>
  <c r="AR14" i="26" s="1"/>
  <c r="AR15" i="26" s="1"/>
  <c r="AR16" i="26" s="1"/>
  <c r="AR17" i="26" s="1"/>
  <c r="AR18" i="26" s="1"/>
  <c r="AR19" i="26" s="1"/>
  <c r="AR20" i="26" s="1"/>
  <c r="AR21" i="26" s="1"/>
  <c r="AR22" i="26" s="1"/>
  <c r="AR23" i="26" s="1"/>
  <c r="AR24" i="26" s="1"/>
  <c r="AR25" i="26" s="1"/>
  <c r="AR26" i="26" s="1"/>
  <c r="AR27" i="26" s="1"/>
  <c r="AR28" i="26" s="1"/>
  <c r="AR29" i="26" s="1"/>
  <c r="AR30" i="26" s="1"/>
  <c r="AR31" i="26" s="1"/>
  <c r="AR32" i="26" s="1"/>
  <c r="AR33" i="26" s="1"/>
  <c r="AR34" i="26" s="1"/>
  <c r="AI2" i="26"/>
  <c r="AI1" i="26"/>
  <c r="I86" i="25"/>
  <c r="I85" i="25"/>
  <c r="I84" i="25"/>
  <c r="A82" i="25"/>
  <c r="A80" i="25"/>
  <c r="A78" i="25"/>
  <c r="V76" i="25"/>
  <c r="V75" i="25"/>
  <c r="AR70" i="25"/>
  <c r="AR71" i="25" s="1"/>
  <c r="AR72" i="25" s="1"/>
  <c r="AR73" i="25" s="1"/>
  <c r="AR74" i="25" s="1"/>
  <c r="AR75" i="25" s="1"/>
  <c r="AR76" i="25" s="1"/>
  <c r="AR77" i="25" s="1"/>
  <c r="AR78" i="25" s="1"/>
  <c r="AR79" i="25" s="1"/>
  <c r="AR80" i="25" s="1"/>
  <c r="AR81" i="25" s="1"/>
  <c r="AR82" i="25" s="1"/>
  <c r="AR83" i="25" s="1"/>
  <c r="AR84" i="25" s="1"/>
  <c r="AR85" i="25" s="1"/>
  <c r="AR86" i="25" s="1"/>
  <c r="AR87" i="25" s="1"/>
  <c r="AR88" i="25" s="1"/>
  <c r="AR89" i="25" s="1"/>
  <c r="AR90" i="25" s="1"/>
  <c r="AR91" i="25" s="1"/>
  <c r="AR92" i="25" s="1"/>
  <c r="AR93" i="25" s="1"/>
  <c r="AR94" i="25" s="1"/>
  <c r="AR95" i="25" s="1"/>
  <c r="AR96" i="25" s="1"/>
  <c r="AR97" i="25" s="1"/>
  <c r="AR98" i="25" s="1"/>
  <c r="AR99" i="25" s="1"/>
  <c r="AR100" i="25" s="1"/>
  <c r="AR101" i="25" s="1"/>
  <c r="AR102" i="25" s="1"/>
  <c r="AI70" i="25"/>
  <c r="AI69" i="25"/>
  <c r="I52" i="25"/>
  <c r="I51" i="25"/>
  <c r="I50" i="25"/>
  <c r="A48" i="25"/>
  <c r="A46" i="25"/>
  <c r="A44" i="25"/>
  <c r="V42" i="25"/>
  <c r="V41" i="25"/>
  <c r="AV38" i="25"/>
  <c r="AR36" i="25"/>
  <c r="AR37" i="25" s="1"/>
  <c r="AR38" i="25" s="1"/>
  <c r="AR39" i="25" s="1"/>
  <c r="AR40" i="25" s="1"/>
  <c r="AR41" i="25" s="1"/>
  <c r="AR42" i="25" s="1"/>
  <c r="AR43" i="25" s="1"/>
  <c r="AR44" i="25" s="1"/>
  <c r="AR45" i="25" s="1"/>
  <c r="AR46" i="25" s="1"/>
  <c r="AR47" i="25" s="1"/>
  <c r="AR48" i="25" s="1"/>
  <c r="AR49" i="25" s="1"/>
  <c r="AR50" i="25" s="1"/>
  <c r="AR51" i="25" s="1"/>
  <c r="AR52" i="25" s="1"/>
  <c r="AR53" i="25" s="1"/>
  <c r="AR54" i="25" s="1"/>
  <c r="AR55" i="25" s="1"/>
  <c r="AR56" i="25" s="1"/>
  <c r="AR57" i="25" s="1"/>
  <c r="AR58" i="25" s="1"/>
  <c r="AR59" i="25" s="1"/>
  <c r="AR60" i="25" s="1"/>
  <c r="AR61" i="25" s="1"/>
  <c r="AR62" i="25" s="1"/>
  <c r="AR63" i="25" s="1"/>
  <c r="AR64" i="25" s="1"/>
  <c r="AR65" i="25" s="1"/>
  <c r="AR66" i="25" s="1"/>
  <c r="AR67" i="25" s="1"/>
  <c r="AR68" i="25" s="1"/>
  <c r="AI36" i="25"/>
  <c r="AI35" i="25"/>
  <c r="I18" i="25"/>
  <c r="I17" i="25"/>
  <c r="I16" i="25"/>
  <c r="A14" i="25"/>
  <c r="A12" i="25"/>
  <c r="A10" i="25"/>
  <c r="V8" i="25"/>
  <c r="V7" i="25"/>
  <c r="AR2" i="25"/>
  <c r="AR3" i="25" s="1"/>
  <c r="AR4" i="25" s="1"/>
  <c r="AR5" i="25" s="1"/>
  <c r="AR6" i="25" s="1"/>
  <c r="AR7" i="25" s="1"/>
  <c r="AR8" i="25" s="1"/>
  <c r="AR9" i="25" s="1"/>
  <c r="AR10" i="25" s="1"/>
  <c r="AR11" i="25" s="1"/>
  <c r="AR12" i="25" s="1"/>
  <c r="AR13" i="25" s="1"/>
  <c r="AR14" i="25" s="1"/>
  <c r="AR15" i="25" s="1"/>
  <c r="AR16" i="25" s="1"/>
  <c r="AR17" i="25" s="1"/>
  <c r="AR18" i="25" s="1"/>
  <c r="AR19" i="25" s="1"/>
  <c r="AR20" i="25" s="1"/>
  <c r="AR21" i="25" s="1"/>
  <c r="AR22" i="25" s="1"/>
  <c r="AR23" i="25" s="1"/>
  <c r="AR24" i="25" s="1"/>
  <c r="AR25" i="25" s="1"/>
  <c r="AR26" i="25" s="1"/>
  <c r="AR27" i="25" s="1"/>
  <c r="AR28" i="25" s="1"/>
  <c r="AR29" i="25" s="1"/>
  <c r="AR30" i="25" s="1"/>
  <c r="AR31" i="25" s="1"/>
  <c r="AR32" i="25" s="1"/>
  <c r="AR33" i="25" s="1"/>
  <c r="AR34" i="25" s="1"/>
  <c r="AI2" i="25"/>
  <c r="AI1" i="25"/>
  <c r="I290" i="24"/>
  <c r="I289" i="24"/>
  <c r="I288" i="24"/>
  <c r="A286" i="24"/>
  <c r="A284" i="24"/>
  <c r="A282" i="24"/>
  <c r="V280" i="24"/>
  <c r="V279" i="24"/>
  <c r="AR274" i="24"/>
  <c r="AR275" i="24" s="1"/>
  <c r="AR276" i="24" s="1"/>
  <c r="AR277" i="24" s="1"/>
  <c r="AR278" i="24" s="1"/>
  <c r="AR279" i="24" s="1"/>
  <c r="AR280" i="24" s="1"/>
  <c r="AR281" i="24" s="1"/>
  <c r="AR282" i="24" s="1"/>
  <c r="AR283" i="24" s="1"/>
  <c r="AR284" i="24" s="1"/>
  <c r="AR285" i="24" s="1"/>
  <c r="AR286" i="24" s="1"/>
  <c r="AR287" i="24" s="1"/>
  <c r="AR288" i="24" s="1"/>
  <c r="AR289" i="24" s="1"/>
  <c r="AR290" i="24" s="1"/>
  <c r="AR291" i="24" s="1"/>
  <c r="AR292" i="24" s="1"/>
  <c r="AR293" i="24" s="1"/>
  <c r="AR294" i="24" s="1"/>
  <c r="AR295" i="24" s="1"/>
  <c r="AR296" i="24" s="1"/>
  <c r="AR297" i="24" s="1"/>
  <c r="AR298" i="24" s="1"/>
  <c r="AR299" i="24" s="1"/>
  <c r="AR300" i="24" s="1"/>
  <c r="AR301" i="24" s="1"/>
  <c r="AR302" i="24" s="1"/>
  <c r="AR303" i="24" s="1"/>
  <c r="AR304" i="24" s="1"/>
  <c r="AR305" i="24" s="1"/>
  <c r="AR306" i="24" s="1"/>
  <c r="AI274" i="24"/>
  <c r="AI273" i="24"/>
  <c r="I256" i="24"/>
  <c r="I255" i="24"/>
  <c r="I254" i="24"/>
  <c r="A252" i="24"/>
  <c r="A250" i="24"/>
  <c r="A248" i="24"/>
  <c r="V246" i="24"/>
  <c r="V245" i="24"/>
  <c r="AR240" i="24"/>
  <c r="AR241" i="24" s="1"/>
  <c r="AR242" i="24" s="1"/>
  <c r="AR243" i="24" s="1"/>
  <c r="AR244" i="24" s="1"/>
  <c r="AR245" i="24" s="1"/>
  <c r="AR246" i="24" s="1"/>
  <c r="AR247" i="24" s="1"/>
  <c r="AR248" i="24" s="1"/>
  <c r="AR249" i="24" s="1"/>
  <c r="AR250" i="24" s="1"/>
  <c r="AR251" i="24" s="1"/>
  <c r="AR252" i="24" s="1"/>
  <c r="AR253" i="24" s="1"/>
  <c r="AR254" i="24" s="1"/>
  <c r="AR255" i="24" s="1"/>
  <c r="AR256" i="24" s="1"/>
  <c r="AR257" i="24" s="1"/>
  <c r="AR258" i="24" s="1"/>
  <c r="AR259" i="24" s="1"/>
  <c r="AR260" i="24" s="1"/>
  <c r="AR261" i="24" s="1"/>
  <c r="AR262" i="24" s="1"/>
  <c r="AR263" i="24" s="1"/>
  <c r="AR264" i="24" s="1"/>
  <c r="AR265" i="24" s="1"/>
  <c r="AR266" i="24" s="1"/>
  <c r="AR267" i="24" s="1"/>
  <c r="AR268" i="24" s="1"/>
  <c r="AR269" i="24" s="1"/>
  <c r="AR270" i="24" s="1"/>
  <c r="AR271" i="24" s="1"/>
  <c r="AR272" i="24" s="1"/>
  <c r="AI240" i="24"/>
  <c r="AI239" i="24"/>
  <c r="I222" i="24"/>
  <c r="I221" i="24"/>
  <c r="I220" i="24"/>
  <c r="A218" i="24"/>
  <c r="A216" i="24"/>
  <c r="A214" i="24"/>
  <c r="V212" i="24"/>
  <c r="V211" i="24"/>
  <c r="AR206" i="24"/>
  <c r="AR207" i="24" s="1"/>
  <c r="AR208" i="24" s="1"/>
  <c r="AR209" i="24" s="1"/>
  <c r="AR210" i="24" s="1"/>
  <c r="AR211" i="24" s="1"/>
  <c r="AR212" i="24" s="1"/>
  <c r="AR213" i="24" s="1"/>
  <c r="AR214" i="24" s="1"/>
  <c r="AR215" i="24" s="1"/>
  <c r="AR216" i="24" s="1"/>
  <c r="AR217" i="24" s="1"/>
  <c r="AR218" i="24" s="1"/>
  <c r="AR219" i="24" s="1"/>
  <c r="AR220" i="24" s="1"/>
  <c r="AR221" i="24" s="1"/>
  <c r="AR222" i="24" s="1"/>
  <c r="AR223" i="24" s="1"/>
  <c r="AR224" i="24" s="1"/>
  <c r="AR225" i="24" s="1"/>
  <c r="AR226" i="24" s="1"/>
  <c r="AR227" i="24" s="1"/>
  <c r="AR228" i="24" s="1"/>
  <c r="AR229" i="24" s="1"/>
  <c r="AR230" i="24" s="1"/>
  <c r="AR231" i="24" s="1"/>
  <c r="AR232" i="24" s="1"/>
  <c r="AR233" i="24" s="1"/>
  <c r="AR234" i="24" s="1"/>
  <c r="AR235" i="24" s="1"/>
  <c r="AR236" i="24" s="1"/>
  <c r="AR237" i="24" s="1"/>
  <c r="AR238" i="24" s="1"/>
  <c r="AI206" i="24"/>
  <c r="AI205" i="24"/>
  <c r="I188" i="24"/>
  <c r="I187" i="24"/>
  <c r="I186" i="24"/>
  <c r="A184" i="24"/>
  <c r="A182" i="24"/>
  <c r="A180" i="24"/>
  <c r="V178" i="24"/>
  <c r="V177" i="24"/>
  <c r="AR172" i="24"/>
  <c r="AR173" i="24" s="1"/>
  <c r="AR174" i="24" s="1"/>
  <c r="AR175" i="24" s="1"/>
  <c r="AR176" i="24" s="1"/>
  <c r="AR177" i="24" s="1"/>
  <c r="AR178" i="24" s="1"/>
  <c r="AR179" i="24" s="1"/>
  <c r="AR180" i="24" s="1"/>
  <c r="AR181" i="24" s="1"/>
  <c r="AR182" i="24" s="1"/>
  <c r="AR183" i="24" s="1"/>
  <c r="AR184" i="24" s="1"/>
  <c r="AR185" i="24" s="1"/>
  <c r="AR186" i="24" s="1"/>
  <c r="AR187" i="24" s="1"/>
  <c r="AR188" i="24" s="1"/>
  <c r="AR189" i="24" s="1"/>
  <c r="AR190" i="24" s="1"/>
  <c r="AR191" i="24" s="1"/>
  <c r="AR192" i="24" s="1"/>
  <c r="AR193" i="24" s="1"/>
  <c r="AR194" i="24" s="1"/>
  <c r="AR195" i="24" s="1"/>
  <c r="AR196" i="24" s="1"/>
  <c r="AR197" i="24" s="1"/>
  <c r="AR198" i="24" s="1"/>
  <c r="AR199" i="24" s="1"/>
  <c r="AR200" i="24" s="1"/>
  <c r="AR201" i="24" s="1"/>
  <c r="AR202" i="24" s="1"/>
  <c r="AR203" i="24" s="1"/>
  <c r="AR204" i="24" s="1"/>
  <c r="AI172" i="24"/>
  <c r="AI171" i="24"/>
  <c r="I154" i="24"/>
  <c r="I153" i="24"/>
  <c r="I152" i="24"/>
  <c r="A150" i="24"/>
  <c r="A148" i="24"/>
  <c r="A146" i="24"/>
  <c r="V144" i="24"/>
  <c r="V143" i="24"/>
  <c r="AR138" i="24"/>
  <c r="AR139" i="24" s="1"/>
  <c r="AR140" i="24" s="1"/>
  <c r="AR141" i="24" s="1"/>
  <c r="AR142" i="24" s="1"/>
  <c r="AR143" i="24" s="1"/>
  <c r="AR144" i="24" s="1"/>
  <c r="AR145" i="24" s="1"/>
  <c r="AR146" i="24" s="1"/>
  <c r="AR147" i="24" s="1"/>
  <c r="AR148" i="24" s="1"/>
  <c r="AR149" i="24" s="1"/>
  <c r="AR150" i="24" s="1"/>
  <c r="AR151" i="24" s="1"/>
  <c r="AR152" i="24" s="1"/>
  <c r="AR153" i="24" s="1"/>
  <c r="AR154" i="24" s="1"/>
  <c r="AR155" i="24" s="1"/>
  <c r="AR156" i="24" s="1"/>
  <c r="AR157" i="24" s="1"/>
  <c r="AR158" i="24" s="1"/>
  <c r="AR159" i="24" s="1"/>
  <c r="AR160" i="24" s="1"/>
  <c r="AR161" i="24" s="1"/>
  <c r="AR162" i="24" s="1"/>
  <c r="AR163" i="24" s="1"/>
  <c r="AR164" i="24" s="1"/>
  <c r="AR165" i="24" s="1"/>
  <c r="AR166" i="24" s="1"/>
  <c r="AR167" i="24" s="1"/>
  <c r="AR168" i="24" s="1"/>
  <c r="AR169" i="24" s="1"/>
  <c r="AR170" i="24" s="1"/>
  <c r="AI138" i="24"/>
  <c r="AI137" i="24"/>
  <c r="I120" i="24"/>
  <c r="I119" i="24"/>
  <c r="I118" i="24"/>
  <c r="A116" i="24"/>
  <c r="A114" i="24"/>
  <c r="A112" i="24"/>
  <c r="V110" i="24"/>
  <c r="V109" i="24"/>
  <c r="AR104" i="24"/>
  <c r="AR105" i="24" s="1"/>
  <c r="AR106" i="24" s="1"/>
  <c r="AR107" i="24" s="1"/>
  <c r="AR108" i="24" s="1"/>
  <c r="AR109" i="24" s="1"/>
  <c r="AR110" i="24" s="1"/>
  <c r="AR111" i="24" s="1"/>
  <c r="AR112" i="24" s="1"/>
  <c r="AR113" i="24" s="1"/>
  <c r="AR114" i="24" s="1"/>
  <c r="AR115" i="24" s="1"/>
  <c r="AR116" i="24" s="1"/>
  <c r="AR117" i="24" s="1"/>
  <c r="AR118" i="24" s="1"/>
  <c r="AR119" i="24" s="1"/>
  <c r="AR120" i="24" s="1"/>
  <c r="AR121" i="24" s="1"/>
  <c r="AR122" i="24" s="1"/>
  <c r="AR123" i="24" s="1"/>
  <c r="AR124" i="24" s="1"/>
  <c r="AR125" i="24" s="1"/>
  <c r="AR126" i="24" s="1"/>
  <c r="AR127" i="24" s="1"/>
  <c r="AR128" i="24" s="1"/>
  <c r="AR129" i="24" s="1"/>
  <c r="AR130" i="24" s="1"/>
  <c r="AR131" i="24" s="1"/>
  <c r="AR132" i="24" s="1"/>
  <c r="AR133" i="24" s="1"/>
  <c r="AR134" i="24" s="1"/>
  <c r="AR135" i="24" s="1"/>
  <c r="AR136" i="24" s="1"/>
  <c r="AI104" i="24"/>
  <c r="AI103" i="24"/>
  <c r="I86" i="24"/>
  <c r="I85" i="24"/>
  <c r="I84" i="24"/>
  <c r="A82" i="24"/>
  <c r="A80" i="24"/>
  <c r="A78" i="24"/>
  <c r="V76" i="24"/>
  <c r="V75" i="24"/>
  <c r="AR70" i="24"/>
  <c r="AR71" i="24" s="1"/>
  <c r="AR72" i="24" s="1"/>
  <c r="AR73" i="24" s="1"/>
  <c r="AR74" i="24" s="1"/>
  <c r="AR75" i="24" s="1"/>
  <c r="AR76" i="24" s="1"/>
  <c r="AR77" i="24" s="1"/>
  <c r="AR78" i="24" s="1"/>
  <c r="AR79" i="24" s="1"/>
  <c r="AR80" i="24" s="1"/>
  <c r="AR81" i="24" s="1"/>
  <c r="AR82" i="24" s="1"/>
  <c r="AR83" i="24" s="1"/>
  <c r="AR84" i="24" s="1"/>
  <c r="AR85" i="24" s="1"/>
  <c r="AR86" i="24" s="1"/>
  <c r="AR87" i="24" s="1"/>
  <c r="AR88" i="24" s="1"/>
  <c r="AR89" i="24" s="1"/>
  <c r="AR90" i="24" s="1"/>
  <c r="AR91" i="24" s="1"/>
  <c r="AR92" i="24" s="1"/>
  <c r="AR93" i="24" s="1"/>
  <c r="AR94" i="24" s="1"/>
  <c r="AR95" i="24" s="1"/>
  <c r="AR96" i="24" s="1"/>
  <c r="AR97" i="24" s="1"/>
  <c r="AR98" i="24" s="1"/>
  <c r="AR99" i="24" s="1"/>
  <c r="AR100" i="24" s="1"/>
  <c r="AR101" i="24" s="1"/>
  <c r="AR102" i="24" s="1"/>
  <c r="AI70" i="24"/>
  <c r="AI69" i="24"/>
  <c r="AV38" i="24"/>
  <c r="I52" i="24"/>
  <c r="I51" i="24"/>
  <c r="I50" i="24"/>
  <c r="A48" i="24"/>
  <c r="A46" i="24"/>
  <c r="A44" i="24"/>
  <c r="V42" i="24"/>
  <c r="V41" i="24"/>
  <c r="AR36" i="24"/>
  <c r="AR37" i="24" s="1"/>
  <c r="AR38" i="24" s="1"/>
  <c r="AR39" i="24" s="1"/>
  <c r="AR40" i="24" s="1"/>
  <c r="AR41" i="24" s="1"/>
  <c r="AR42" i="24" s="1"/>
  <c r="AR43" i="24" s="1"/>
  <c r="AR44" i="24" s="1"/>
  <c r="AR45" i="24" s="1"/>
  <c r="AR46" i="24" s="1"/>
  <c r="AR47" i="24" s="1"/>
  <c r="AR48" i="24" s="1"/>
  <c r="AR49" i="24" s="1"/>
  <c r="AR50" i="24" s="1"/>
  <c r="AR51" i="24" s="1"/>
  <c r="AR52" i="24" s="1"/>
  <c r="AR53" i="24" s="1"/>
  <c r="AR54" i="24" s="1"/>
  <c r="AR55" i="24" s="1"/>
  <c r="AR56" i="24" s="1"/>
  <c r="AR57" i="24" s="1"/>
  <c r="AR58" i="24" s="1"/>
  <c r="AR59" i="24" s="1"/>
  <c r="AR60" i="24" s="1"/>
  <c r="AR61" i="24" s="1"/>
  <c r="AR62" i="24" s="1"/>
  <c r="AR63" i="24" s="1"/>
  <c r="AR64" i="24" s="1"/>
  <c r="AR65" i="24" s="1"/>
  <c r="AR66" i="24" s="1"/>
  <c r="AR67" i="24" s="1"/>
  <c r="AR68" i="24" s="1"/>
  <c r="AI36" i="24"/>
  <c r="AI35" i="24"/>
  <c r="I18" i="24"/>
  <c r="I17" i="24"/>
  <c r="I16" i="24"/>
  <c r="A14" i="24"/>
  <c r="A12" i="24"/>
  <c r="A10" i="24"/>
  <c r="V8" i="24"/>
  <c r="V7" i="24"/>
  <c r="AR2" i="24"/>
  <c r="AR3" i="24" s="1"/>
  <c r="AR4" i="24" s="1"/>
  <c r="AR5" i="24" s="1"/>
  <c r="AR6" i="24" s="1"/>
  <c r="AR7" i="24" s="1"/>
  <c r="AR8" i="24" s="1"/>
  <c r="AR9" i="24" s="1"/>
  <c r="AR10" i="24" s="1"/>
  <c r="AR11" i="24" s="1"/>
  <c r="AR12" i="24" s="1"/>
  <c r="AR13" i="24" s="1"/>
  <c r="AR14" i="24" s="1"/>
  <c r="AR15" i="24" s="1"/>
  <c r="AR16" i="24" s="1"/>
  <c r="AR17" i="24" s="1"/>
  <c r="AR18" i="24" s="1"/>
  <c r="AR19" i="24" s="1"/>
  <c r="AR20" i="24" s="1"/>
  <c r="AR21" i="24" s="1"/>
  <c r="AR22" i="24" s="1"/>
  <c r="AR23" i="24" s="1"/>
  <c r="AR24" i="24" s="1"/>
  <c r="AR25" i="24" s="1"/>
  <c r="AR26" i="24" s="1"/>
  <c r="AR27" i="24" s="1"/>
  <c r="AR28" i="24" s="1"/>
  <c r="AR29" i="24" s="1"/>
  <c r="AR30" i="24" s="1"/>
  <c r="AR31" i="24" s="1"/>
  <c r="AR32" i="24" s="1"/>
  <c r="AR33" i="24" s="1"/>
  <c r="AR34" i="24" s="1"/>
  <c r="AI2" i="24"/>
  <c r="AI1" i="24"/>
  <c r="I18" i="23"/>
  <c r="I17" i="23"/>
  <c r="I16" i="23"/>
  <c r="A14" i="23"/>
  <c r="A12" i="23"/>
  <c r="A10" i="23"/>
  <c r="V8" i="23"/>
  <c r="V7" i="23"/>
  <c r="AR2" i="23"/>
  <c r="AR3" i="23" s="1"/>
  <c r="AR4" i="23" s="1"/>
  <c r="AR5" i="23" s="1"/>
  <c r="AR6" i="23" s="1"/>
  <c r="AR7" i="23" s="1"/>
  <c r="AR8" i="23" s="1"/>
  <c r="AR9" i="23" s="1"/>
  <c r="AR10" i="23" s="1"/>
  <c r="AR11" i="23" s="1"/>
  <c r="AR12" i="23" s="1"/>
  <c r="AR13" i="23" s="1"/>
  <c r="AR14" i="23" s="1"/>
  <c r="AR15" i="23" s="1"/>
  <c r="AR16" i="23" s="1"/>
  <c r="AR17" i="23" s="1"/>
  <c r="AR18" i="23" s="1"/>
  <c r="AR19" i="23" s="1"/>
  <c r="AR20" i="23" s="1"/>
  <c r="AR21" i="23" s="1"/>
  <c r="AR22" i="23" s="1"/>
  <c r="AR23" i="23" s="1"/>
  <c r="AR24" i="23" s="1"/>
  <c r="AR25" i="23" s="1"/>
  <c r="AR26" i="23" s="1"/>
  <c r="AR27" i="23" s="1"/>
  <c r="AR28" i="23" s="1"/>
  <c r="AR29" i="23" s="1"/>
  <c r="AR30" i="23" s="1"/>
  <c r="AR31" i="23" s="1"/>
  <c r="AR32" i="23" s="1"/>
  <c r="AR33" i="23" s="1"/>
  <c r="AR34" i="23" s="1"/>
  <c r="AI2" i="23"/>
  <c r="AI1" i="23"/>
  <c r="I18" i="22"/>
  <c r="I17" i="22"/>
  <c r="I16" i="22"/>
  <c r="A14" i="22"/>
  <c r="A12" i="22"/>
  <c r="A10" i="22"/>
  <c r="V8" i="22"/>
  <c r="V7" i="22"/>
  <c r="AR2" i="22"/>
  <c r="AR3" i="22" s="1"/>
  <c r="AR4" i="22" s="1"/>
  <c r="AR5" i="22" s="1"/>
  <c r="AR6" i="22" s="1"/>
  <c r="AR7" i="22" s="1"/>
  <c r="AR8" i="22" s="1"/>
  <c r="AR9" i="22" s="1"/>
  <c r="AR10" i="22" s="1"/>
  <c r="AR11" i="22" s="1"/>
  <c r="AR12" i="22" s="1"/>
  <c r="AR13" i="22" s="1"/>
  <c r="AR14" i="22" s="1"/>
  <c r="AR15" i="22" s="1"/>
  <c r="AR16" i="22" s="1"/>
  <c r="AR17" i="22" s="1"/>
  <c r="AR18" i="22" s="1"/>
  <c r="AR19" i="22" s="1"/>
  <c r="AR20" i="22" s="1"/>
  <c r="AR21" i="22" s="1"/>
  <c r="AR22" i="22" s="1"/>
  <c r="AR23" i="22" s="1"/>
  <c r="AR24" i="22" s="1"/>
  <c r="AR25" i="22" s="1"/>
  <c r="AR26" i="22" s="1"/>
  <c r="AR27" i="22" s="1"/>
  <c r="AR28" i="22" s="1"/>
  <c r="AR29" i="22" s="1"/>
  <c r="AR30" i="22" s="1"/>
  <c r="AR31" i="22" s="1"/>
  <c r="AR32" i="22" s="1"/>
  <c r="AR33" i="22" s="1"/>
  <c r="AR34" i="22" s="1"/>
  <c r="AI2" i="22"/>
  <c r="AI1" i="22"/>
  <c r="I18" i="21"/>
  <c r="I17" i="21"/>
  <c r="I16" i="21"/>
  <c r="A14" i="21"/>
  <c r="A12" i="21"/>
  <c r="A10" i="21"/>
  <c r="V8" i="21"/>
  <c r="V7" i="21"/>
  <c r="AR2" i="21"/>
  <c r="AR3" i="21" s="1"/>
  <c r="AR4" i="21" s="1"/>
  <c r="AR5" i="21" s="1"/>
  <c r="AR6" i="21" s="1"/>
  <c r="AR7" i="21" s="1"/>
  <c r="AR8" i="21" s="1"/>
  <c r="AR9" i="21" s="1"/>
  <c r="AR10" i="21" s="1"/>
  <c r="AR11" i="21" s="1"/>
  <c r="AR12" i="21" s="1"/>
  <c r="AR13" i="21" s="1"/>
  <c r="AR14" i="21" s="1"/>
  <c r="AR15" i="21" s="1"/>
  <c r="AR16" i="21" s="1"/>
  <c r="AR17" i="21" s="1"/>
  <c r="AR18" i="21" s="1"/>
  <c r="AR19" i="21" s="1"/>
  <c r="AR20" i="21" s="1"/>
  <c r="AR21" i="21" s="1"/>
  <c r="AR22" i="21" s="1"/>
  <c r="AR23" i="21" s="1"/>
  <c r="AR24" i="21" s="1"/>
  <c r="AR25" i="21" s="1"/>
  <c r="AR26" i="21" s="1"/>
  <c r="AR27" i="21" s="1"/>
  <c r="AR28" i="21" s="1"/>
  <c r="AR29" i="21" s="1"/>
  <c r="AR30" i="21" s="1"/>
  <c r="AR31" i="21" s="1"/>
  <c r="AR32" i="21" s="1"/>
  <c r="AR33" i="21" s="1"/>
  <c r="AR34" i="21" s="1"/>
  <c r="AI2" i="21"/>
  <c r="AI1" i="21"/>
  <c r="I18" i="16"/>
  <c r="I17" i="16"/>
  <c r="I16" i="16"/>
  <c r="A14" i="16"/>
  <c r="A12" i="16"/>
  <c r="A10" i="16"/>
  <c r="V8" i="16"/>
  <c r="V7" i="16"/>
  <c r="AR2" i="16"/>
  <c r="AR3" i="16" s="1"/>
  <c r="AR4" i="16" s="1"/>
  <c r="AR5" i="16" s="1"/>
  <c r="AR6" i="16" s="1"/>
  <c r="AR7" i="16" s="1"/>
  <c r="AR8" i="16" s="1"/>
  <c r="AR9" i="16" s="1"/>
  <c r="AR10" i="16" s="1"/>
  <c r="AR11" i="16" s="1"/>
  <c r="AR12" i="16" s="1"/>
  <c r="AR13" i="16" s="1"/>
  <c r="AR14" i="16" s="1"/>
  <c r="AR15" i="16" s="1"/>
  <c r="AR16" i="16" s="1"/>
  <c r="AR17" i="16" s="1"/>
  <c r="AR18" i="16" s="1"/>
  <c r="AR19" i="16" s="1"/>
  <c r="AR20" i="16" s="1"/>
  <c r="AR21" i="16" s="1"/>
  <c r="AR22" i="16" s="1"/>
  <c r="AR23" i="16" s="1"/>
  <c r="AR24" i="16" s="1"/>
  <c r="AR25" i="16" s="1"/>
  <c r="AR26" i="16" s="1"/>
  <c r="AR27" i="16" s="1"/>
  <c r="AR28" i="16" s="1"/>
  <c r="AR29" i="16" s="1"/>
  <c r="AR30" i="16" s="1"/>
  <c r="AR31" i="16" s="1"/>
  <c r="AR32" i="16" s="1"/>
  <c r="AR33" i="16" s="1"/>
  <c r="AR34" i="16" s="1"/>
  <c r="AI2" i="16"/>
  <c r="AI1" i="16"/>
  <c r="I18" i="10"/>
  <c r="I17" i="10"/>
  <c r="I16" i="10"/>
  <c r="A14" i="10"/>
  <c r="A12" i="10"/>
  <c r="A10" i="10"/>
  <c r="V8" i="10"/>
  <c r="V7" i="10"/>
  <c r="AI2" i="10"/>
  <c r="AI1" i="10"/>
  <c r="AR3" i="10"/>
  <c r="AR4" i="10" s="1"/>
  <c r="AR5" i="10" s="1"/>
  <c r="AR6" i="10" s="1"/>
  <c r="AR7" i="10" s="1"/>
  <c r="AR8" i="10" s="1"/>
  <c r="AR9" i="10" s="1"/>
  <c r="AR10" i="10" s="1"/>
  <c r="AR11" i="10" s="1"/>
  <c r="AR12" i="10" s="1"/>
  <c r="AR13" i="10" s="1"/>
  <c r="AR14" i="10" s="1"/>
  <c r="AR15" i="10" s="1"/>
  <c r="AR16" i="10" s="1"/>
  <c r="AR17" i="10" s="1"/>
  <c r="AR18" i="10" s="1"/>
  <c r="AR19" i="10" s="1"/>
  <c r="AR20" i="10" s="1"/>
  <c r="AR21" i="10" s="1"/>
  <c r="AR22" i="10" s="1"/>
  <c r="AR23" i="10" s="1"/>
  <c r="AR24" i="10" s="1"/>
  <c r="AR25" i="10" s="1"/>
  <c r="AR26" i="10" s="1"/>
  <c r="AR27" i="10" s="1"/>
  <c r="AR28" i="10" s="1"/>
  <c r="AR29" i="10" s="1"/>
  <c r="AR30" i="10" s="1"/>
  <c r="AR31" i="10" s="1"/>
  <c r="AR32" i="10" s="1"/>
  <c r="AR33" i="10" s="1"/>
  <c r="AR34" i="10" s="1"/>
  <c r="AR3" i="7"/>
  <c r="AR4" i="7" s="1"/>
  <c r="AR5" i="7" s="1"/>
  <c r="AR6" i="7" s="1"/>
  <c r="AR7" i="7" s="1"/>
  <c r="AR8" i="7" s="1"/>
  <c r="AR9" i="7" s="1"/>
  <c r="AR10" i="7" s="1"/>
  <c r="AR11" i="7" s="1"/>
  <c r="AR12" i="7" s="1"/>
  <c r="AR13" i="7" s="1"/>
  <c r="AR14" i="7" s="1"/>
  <c r="AR15" i="7" s="1"/>
  <c r="AR16" i="7" s="1"/>
  <c r="AR17" i="7" s="1"/>
  <c r="AR18" i="7" s="1"/>
  <c r="AR19" i="7" s="1"/>
  <c r="AR20" i="7" s="1"/>
  <c r="AR21" i="7" s="1"/>
  <c r="AR22" i="7" s="1"/>
  <c r="AR23" i="7" s="1"/>
  <c r="AR24" i="7" s="1"/>
  <c r="AR25" i="7" s="1"/>
  <c r="AR26" i="7" s="1"/>
  <c r="AR27" i="7" s="1"/>
  <c r="AR28" i="7" s="1"/>
  <c r="AR29" i="7" s="1"/>
  <c r="AR30" i="7" s="1"/>
  <c r="AR31" i="7" s="1"/>
  <c r="AR32" i="7" s="1"/>
  <c r="AR33" i="7" s="1"/>
  <c r="AR34" i="7" s="1"/>
  <c r="AR2" i="10"/>
  <c r="AR2" i="7"/>
  <c r="A39" i="24" l="1"/>
  <c r="A38" i="24"/>
  <c r="S52" i="24"/>
  <c r="S51" i="24"/>
  <c r="S50" i="24"/>
  <c r="AV72" i="24"/>
  <c r="S85" i="28"/>
  <c r="S84" i="28"/>
  <c r="AV106" i="28"/>
  <c r="A73" i="28"/>
  <c r="S86" i="28"/>
  <c r="A72" i="28"/>
  <c r="S52" i="32"/>
  <c r="S51" i="32"/>
  <c r="S50" i="32"/>
  <c r="A39" i="32"/>
  <c r="A38" i="32"/>
  <c r="S52" i="31"/>
  <c r="S51" i="31"/>
  <c r="S50" i="31"/>
  <c r="A39" i="31"/>
  <c r="A38" i="31"/>
  <c r="A39" i="25"/>
  <c r="A38" i="25"/>
  <c r="S52" i="25"/>
  <c r="S51" i="25"/>
  <c r="S50" i="25"/>
  <c r="A39" i="35"/>
  <c r="S50" i="35"/>
  <c r="A38" i="35"/>
  <c r="S52" i="35"/>
  <c r="S51" i="35"/>
  <c r="S51" i="34"/>
  <c r="A39" i="34"/>
  <c r="S50" i="34"/>
  <c r="A38" i="34"/>
  <c r="S52" i="34"/>
  <c r="AV72" i="34"/>
  <c r="S52" i="28"/>
  <c r="S50" i="28"/>
  <c r="A38" i="28"/>
  <c r="S51" i="28"/>
  <c r="A39" i="28"/>
  <c r="AV72" i="35"/>
  <c r="AV72" i="32"/>
  <c r="AV106" i="32"/>
  <c r="AV72" i="25"/>
  <c r="A51" i="6"/>
  <c r="A73" i="25" l="1"/>
  <c r="S86" i="25"/>
  <c r="A72" i="25"/>
  <c r="S85" i="25"/>
  <c r="S84" i="25"/>
  <c r="S85" i="32"/>
  <c r="A73" i="32"/>
  <c r="A72" i="32"/>
  <c r="S84" i="32"/>
  <c r="S86" i="32"/>
  <c r="S118" i="28"/>
  <c r="A107" i="28"/>
  <c r="S120" i="28"/>
  <c r="AV140" i="28"/>
  <c r="A106" i="28"/>
  <c r="S119" i="28"/>
  <c r="AV106" i="35"/>
  <c r="S86" i="35"/>
  <c r="A73" i="35"/>
  <c r="S85" i="35"/>
  <c r="A72" i="35"/>
  <c r="S84" i="35"/>
  <c r="A107" i="32"/>
  <c r="A106" i="32"/>
  <c r="S120" i="32"/>
  <c r="S119" i="32"/>
  <c r="S118" i="32"/>
  <c r="S85" i="24"/>
  <c r="S86" i="24"/>
  <c r="S84" i="24"/>
  <c r="A73" i="24"/>
  <c r="A72" i="24"/>
  <c r="AV106" i="24"/>
  <c r="S86" i="34"/>
  <c r="S85" i="34"/>
  <c r="S84" i="34"/>
  <c r="A73" i="34"/>
  <c r="A72" i="34"/>
  <c r="L51" i="6"/>
  <c r="S119" i="24" l="1"/>
  <c r="S118" i="24"/>
  <c r="S120" i="24"/>
  <c r="A107" i="24"/>
  <c r="A106" i="24"/>
  <c r="AV140" i="24"/>
  <c r="S120" i="35"/>
  <c r="S119" i="35"/>
  <c r="A107" i="35"/>
  <c r="S118" i="35"/>
  <c r="A106" i="35"/>
  <c r="AV140" i="35"/>
  <c r="AV174" i="28"/>
  <c r="S153" i="28"/>
  <c r="A140" i="28"/>
  <c r="S154" i="28"/>
  <c r="A141" i="28"/>
  <c r="S152" i="28"/>
  <c r="S154" i="35" l="1"/>
  <c r="S152" i="35"/>
  <c r="S153" i="35"/>
  <c r="A141" i="35"/>
  <c r="A140" i="35"/>
  <c r="AV174" i="35"/>
  <c r="AV174" i="24"/>
  <c r="S152" i="24"/>
  <c r="A141" i="24"/>
  <c r="A140" i="24"/>
  <c r="S154" i="24"/>
  <c r="S153" i="24"/>
  <c r="S186" i="28"/>
  <c r="AV208" i="28"/>
  <c r="A175" i="28"/>
  <c r="S188" i="28"/>
  <c r="A174" i="28"/>
  <c r="S187" i="28"/>
  <c r="J54" i="4"/>
  <c r="A175" i="24" l="1"/>
  <c r="A174" i="24"/>
  <c r="S188" i="24"/>
  <c r="S187" i="24"/>
  <c r="S186" i="24"/>
  <c r="AV208" i="24"/>
  <c r="S220" i="28"/>
  <c r="A209" i="28"/>
  <c r="S222" i="28"/>
  <c r="AV242" i="28"/>
  <c r="A208" i="28"/>
  <c r="S221" i="28"/>
  <c r="A174" i="35"/>
  <c r="A175" i="35"/>
  <c r="S188" i="35"/>
  <c r="S187" i="35"/>
  <c r="S186" i="35"/>
  <c r="BR10" i="2"/>
  <c r="BR9" i="2"/>
  <c r="BR8" i="2"/>
  <c r="BR7" i="2"/>
  <c r="BR6" i="2"/>
  <c r="BR11" i="2"/>
  <c r="BR5" i="2"/>
  <c r="BR4" i="2"/>
  <c r="BR3" i="2"/>
  <c r="S255" i="28" l="1"/>
  <c r="S256" i="28"/>
  <c r="A243" i="28"/>
  <c r="A242" i="28"/>
  <c r="S254" i="28"/>
  <c r="A209" i="24"/>
  <c r="A208" i="24"/>
  <c r="S222" i="24"/>
  <c r="S221" i="24"/>
  <c r="S220" i="24"/>
  <c r="AV242" i="24"/>
  <c r="B4" i="2"/>
  <c r="B5" i="2"/>
  <c r="B6" i="2"/>
  <c r="B7" i="2"/>
  <c r="B8" i="2"/>
  <c r="B9" i="2"/>
  <c r="B10" i="2"/>
  <c r="C4" i="2"/>
  <c r="C5" i="2"/>
  <c r="C6" i="2"/>
  <c r="C7" i="2"/>
  <c r="C8" i="2"/>
  <c r="C9" i="2"/>
  <c r="C10" i="2"/>
  <c r="D4" i="2"/>
  <c r="D5" i="2"/>
  <c r="D6" i="2"/>
  <c r="D7" i="2"/>
  <c r="D8" i="2"/>
  <c r="D9" i="2"/>
  <c r="D10" i="2"/>
  <c r="E4" i="2"/>
  <c r="E5" i="2"/>
  <c r="E6" i="2"/>
  <c r="E7" i="2"/>
  <c r="E8" i="2"/>
  <c r="E9" i="2"/>
  <c r="E10" i="2"/>
  <c r="F4" i="2"/>
  <c r="F5" i="2"/>
  <c r="F6" i="2"/>
  <c r="F7" i="2"/>
  <c r="F8" i="2"/>
  <c r="F9" i="2"/>
  <c r="F10" i="2"/>
  <c r="G4" i="2"/>
  <c r="G5" i="2"/>
  <c r="G6" i="2"/>
  <c r="G7" i="2"/>
  <c r="G8" i="2"/>
  <c r="G9" i="2"/>
  <c r="G10" i="2"/>
  <c r="H4" i="2"/>
  <c r="H5" i="2"/>
  <c r="H6" i="2"/>
  <c r="H7" i="2"/>
  <c r="H8" i="2"/>
  <c r="H9" i="2"/>
  <c r="H10" i="2"/>
  <c r="I4" i="2"/>
  <c r="I5" i="2"/>
  <c r="I6" i="2"/>
  <c r="I7" i="2"/>
  <c r="I8" i="2"/>
  <c r="I9" i="2"/>
  <c r="I10" i="2"/>
  <c r="J4" i="2"/>
  <c r="J5" i="2"/>
  <c r="J6" i="2"/>
  <c r="J7" i="2"/>
  <c r="J8" i="2"/>
  <c r="J9" i="2"/>
  <c r="J10" i="2"/>
  <c r="K4" i="2"/>
  <c r="K5" i="2"/>
  <c r="K6" i="2"/>
  <c r="K7" i="2"/>
  <c r="K8" i="2"/>
  <c r="K9" i="2"/>
  <c r="K10" i="2"/>
  <c r="L4" i="2"/>
  <c r="L5" i="2"/>
  <c r="L6" i="2"/>
  <c r="L7" i="2"/>
  <c r="L8" i="2"/>
  <c r="L9" i="2"/>
  <c r="L10" i="2"/>
  <c r="M4" i="2"/>
  <c r="M5" i="2"/>
  <c r="M6" i="2"/>
  <c r="M7" i="2"/>
  <c r="M8" i="2"/>
  <c r="M9" i="2"/>
  <c r="M10" i="2"/>
  <c r="N4" i="2"/>
  <c r="N5" i="2"/>
  <c r="N6" i="2"/>
  <c r="N7" i="2"/>
  <c r="N8" i="2"/>
  <c r="N9" i="2"/>
  <c r="N10" i="2"/>
  <c r="O4" i="2"/>
  <c r="O5" i="2"/>
  <c r="O6" i="2"/>
  <c r="O7" i="2"/>
  <c r="O8" i="2"/>
  <c r="O9" i="2"/>
  <c r="O10" i="2"/>
  <c r="P4" i="2"/>
  <c r="P5" i="2"/>
  <c r="P6" i="2"/>
  <c r="P7" i="2"/>
  <c r="P8" i="2"/>
  <c r="P9" i="2"/>
  <c r="P10" i="2"/>
  <c r="Q4" i="2"/>
  <c r="Q5" i="2"/>
  <c r="Q6" i="2"/>
  <c r="Q7" i="2"/>
  <c r="Q8" i="2"/>
  <c r="Q9" i="2"/>
  <c r="Q10" i="2"/>
  <c r="R4" i="2"/>
  <c r="R5" i="2"/>
  <c r="R6" i="2"/>
  <c r="R7" i="2"/>
  <c r="R8" i="2"/>
  <c r="R9" i="2"/>
  <c r="R10" i="2"/>
  <c r="S4" i="2"/>
  <c r="S5" i="2"/>
  <c r="S6" i="2"/>
  <c r="S7" i="2"/>
  <c r="S8" i="2"/>
  <c r="S9" i="2"/>
  <c r="S10" i="2"/>
  <c r="T4" i="2"/>
  <c r="T5" i="2"/>
  <c r="T6" i="2"/>
  <c r="T7" i="2"/>
  <c r="T8" i="2"/>
  <c r="T9" i="2"/>
  <c r="T10" i="2"/>
  <c r="U4" i="2"/>
  <c r="U5" i="2"/>
  <c r="U6" i="2"/>
  <c r="U7" i="2"/>
  <c r="U8" i="2"/>
  <c r="U9" i="2"/>
  <c r="U10" i="2"/>
  <c r="V4" i="2"/>
  <c r="V5" i="2"/>
  <c r="V6" i="2"/>
  <c r="V7" i="2"/>
  <c r="V8" i="2"/>
  <c r="V9" i="2"/>
  <c r="V10" i="2"/>
  <c r="W4" i="2"/>
  <c r="W5" i="2"/>
  <c r="W6" i="2"/>
  <c r="W7" i="2"/>
  <c r="W8" i="2"/>
  <c r="W9" i="2"/>
  <c r="W10" i="2"/>
  <c r="X4" i="2"/>
  <c r="X5" i="2"/>
  <c r="X6" i="2"/>
  <c r="X7" i="2"/>
  <c r="X8" i="2"/>
  <c r="X9" i="2"/>
  <c r="X10" i="2"/>
  <c r="Y4" i="2"/>
  <c r="Y5" i="2"/>
  <c r="Y6" i="2"/>
  <c r="Y7" i="2"/>
  <c r="Y8" i="2"/>
  <c r="Y9" i="2"/>
  <c r="Y10" i="2"/>
  <c r="Z4" i="2"/>
  <c r="Z5" i="2"/>
  <c r="Z6" i="2"/>
  <c r="Z7" i="2"/>
  <c r="Z8" i="2"/>
  <c r="Z9" i="2"/>
  <c r="Z10" i="2"/>
  <c r="AA4" i="2"/>
  <c r="AA5" i="2"/>
  <c r="AA6" i="2"/>
  <c r="AA7" i="2"/>
  <c r="AA8" i="2"/>
  <c r="AA9" i="2"/>
  <c r="AA10" i="2"/>
  <c r="AB4" i="2"/>
  <c r="AB5" i="2"/>
  <c r="AB6" i="2"/>
  <c r="AB7" i="2"/>
  <c r="AB8" i="2"/>
  <c r="AB9" i="2"/>
  <c r="AB10" i="2"/>
  <c r="AC4" i="2"/>
  <c r="AC5" i="2"/>
  <c r="AC6" i="2"/>
  <c r="AC7" i="2"/>
  <c r="AC8" i="2"/>
  <c r="AC9" i="2"/>
  <c r="AC10" i="2"/>
  <c r="AD4" i="2"/>
  <c r="AD5" i="2"/>
  <c r="AD6" i="2"/>
  <c r="AD7" i="2"/>
  <c r="AD8" i="2"/>
  <c r="AD9" i="2"/>
  <c r="AD10" i="2"/>
  <c r="AE4" i="2"/>
  <c r="AE5" i="2"/>
  <c r="AE6" i="2"/>
  <c r="AE7" i="2"/>
  <c r="AE8" i="2"/>
  <c r="AE9" i="2"/>
  <c r="AE10" i="2"/>
  <c r="AF4" i="2"/>
  <c r="AF5" i="2"/>
  <c r="AF6" i="2"/>
  <c r="AF7" i="2"/>
  <c r="AF8" i="2"/>
  <c r="AF9" i="2"/>
  <c r="AF10" i="2"/>
  <c r="AG4" i="2"/>
  <c r="AG5" i="2"/>
  <c r="AG6" i="2"/>
  <c r="AG7" i="2"/>
  <c r="AG8" i="2"/>
  <c r="AG9" i="2"/>
  <c r="AG10" i="2"/>
  <c r="AH4" i="2"/>
  <c r="AH5" i="2"/>
  <c r="BQ5" i="2" s="1"/>
  <c r="AH6" i="2"/>
  <c r="AH7" i="2"/>
  <c r="AH8" i="2"/>
  <c r="AH9" i="2"/>
  <c r="AH10" i="2"/>
  <c r="AI4" i="2"/>
  <c r="AI5" i="2"/>
  <c r="AI6" i="2"/>
  <c r="AI7" i="2"/>
  <c r="AI8" i="2"/>
  <c r="AI9" i="2"/>
  <c r="AI10" i="2"/>
  <c r="AJ4" i="2"/>
  <c r="AJ5" i="2"/>
  <c r="AJ6" i="2"/>
  <c r="AJ7" i="2"/>
  <c r="AJ8" i="2"/>
  <c r="AJ9" i="2"/>
  <c r="AK4" i="2"/>
  <c r="BP4" i="2" s="1"/>
  <c r="AK5" i="2"/>
  <c r="BP5" i="2" s="1"/>
  <c r="AK6" i="2"/>
  <c r="BP6" i="2" s="1"/>
  <c r="AK7" i="2"/>
  <c r="BP7" i="2" s="1"/>
  <c r="AK8" i="2"/>
  <c r="BP8" i="2" s="1"/>
  <c r="AK9" i="2"/>
  <c r="BP9" i="2" s="1"/>
  <c r="AK10" i="2"/>
  <c r="BP10" i="2" s="1"/>
  <c r="AL4" i="2"/>
  <c r="AL5" i="2"/>
  <c r="AL6" i="2"/>
  <c r="AL7" i="2"/>
  <c r="AL8" i="2"/>
  <c r="AL9" i="2"/>
  <c r="AM4" i="2"/>
  <c r="AM5" i="2"/>
  <c r="AM6" i="2"/>
  <c r="AM7" i="2"/>
  <c r="AM8" i="2"/>
  <c r="AM9" i="2"/>
  <c r="AN4" i="2"/>
  <c r="AN5" i="2"/>
  <c r="AN6" i="2"/>
  <c r="AN7" i="2"/>
  <c r="AN8" i="2"/>
  <c r="AN9" i="2"/>
  <c r="AO4" i="2"/>
  <c r="AO5" i="2"/>
  <c r="AO6" i="2"/>
  <c r="AO7" i="2"/>
  <c r="AO8" i="2"/>
  <c r="AO9" i="2"/>
  <c r="AO10" i="2"/>
  <c r="BQ10" i="2" s="1"/>
  <c r="AP4" i="2"/>
  <c r="AP5" i="2"/>
  <c r="AP6" i="2"/>
  <c r="AP7" i="2"/>
  <c r="AP8" i="2"/>
  <c r="AP9" i="2"/>
  <c r="AP10" i="2"/>
  <c r="AQ4" i="2"/>
  <c r="AQ5" i="2"/>
  <c r="AQ6" i="2"/>
  <c r="AQ7" i="2"/>
  <c r="AQ8" i="2"/>
  <c r="AQ9" i="2"/>
  <c r="AQ10" i="2"/>
  <c r="AR4" i="2"/>
  <c r="AR5" i="2"/>
  <c r="AR6" i="2"/>
  <c r="AR7" i="2"/>
  <c r="AR8" i="2"/>
  <c r="AR9" i="2"/>
  <c r="AR10" i="2"/>
  <c r="AS4" i="2"/>
  <c r="AS5" i="2"/>
  <c r="AS6" i="2"/>
  <c r="AS7" i="2"/>
  <c r="AS8" i="2"/>
  <c r="AS9" i="2"/>
  <c r="AS10" i="2"/>
  <c r="AT4" i="2"/>
  <c r="AT5" i="2"/>
  <c r="AT6" i="2"/>
  <c r="AT7" i="2"/>
  <c r="AT8" i="2"/>
  <c r="AT9" i="2"/>
  <c r="AT10" i="2"/>
  <c r="AU4" i="2"/>
  <c r="AU5" i="2"/>
  <c r="AU6" i="2"/>
  <c r="AU7" i="2"/>
  <c r="AU8" i="2"/>
  <c r="AU9" i="2"/>
  <c r="AU10" i="2"/>
  <c r="AV4" i="2"/>
  <c r="AV5" i="2"/>
  <c r="AV6" i="2"/>
  <c r="AV7" i="2"/>
  <c r="AV8" i="2"/>
  <c r="AV9" i="2"/>
  <c r="AV10" i="2"/>
  <c r="AW4" i="2"/>
  <c r="AW5" i="2"/>
  <c r="AW6" i="2"/>
  <c r="AW7" i="2"/>
  <c r="AW8" i="2"/>
  <c r="AW9" i="2"/>
  <c r="AW10" i="2"/>
  <c r="AX4" i="2"/>
  <c r="AX5" i="2"/>
  <c r="AX6" i="2"/>
  <c r="AX7" i="2"/>
  <c r="AX8" i="2"/>
  <c r="AX9" i="2"/>
  <c r="AX10" i="2"/>
  <c r="AY4" i="2"/>
  <c r="AY5" i="2"/>
  <c r="AY6" i="2"/>
  <c r="AY7" i="2"/>
  <c r="AY8" i="2"/>
  <c r="AY9" i="2"/>
  <c r="AY10" i="2"/>
  <c r="AZ4" i="2"/>
  <c r="AZ5" i="2"/>
  <c r="AZ6" i="2"/>
  <c r="AZ7" i="2"/>
  <c r="AZ8" i="2"/>
  <c r="AZ9" i="2"/>
  <c r="AZ10" i="2"/>
  <c r="BA4" i="2"/>
  <c r="BA5" i="2"/>
  <c r="BA6" i="2"/>
  <c r="BA7" i="2"/>
  <c r="BA8" i="2"/>
  <c r="BA9" i="2"/>
  <c r="BA10" i="2"/>
  <c r="BB4" i="2"/>
  <c r="BB5" i="2"/>
  <c r="BB6" i="2"/>
  <c r="BB7" i="2"/>
  <c r="BB8" i="2"/>
  <c r="BB9" i="2"/>
  <c r="BB10" i="2"/>
  <c r="BC4" i="2"/>
  <c r="BC5" i="2"/>
  <c r="BC6" i="2"/>
  <c r="BC7" i="2"/>
  <c r="BC8" i="2"/>
  <c r="BC9" i="2"/>
  <c r="BC10" i="2"/>
  <c r="BD4" i="2"/>
  <c r="BD5" i="2"/>
  <c r="BD6" i="2"/>
  <c r="BD7" i="2"/>
  <c r="BD8" i="2"/>
  <c r="BD9" i="2"/>
  <c r="BD10" i="2"/>
  <c r="BE4" i="2"/>
  <c r="BE5" i="2"/>
  <c r="BE6" i="2"/>
  <c r="BE7" i="2"/>
  <c r="BE8" i="2"/>
  <c r="BE9" i="2"/>
  <c r="BE10" i="2"/>
  <c r="BF4" i="2"/>
  <c r="BF5" i="2"/>
  <c r="BF6" i="2"/>
  <c r="BF7" i="2"/>
  <c r="BF8" i="2"/>
  <c r="BF9" i="2"/>
  <c r="BF10" i="2"/>
  <c r="BG4" i="2"/>
  <c r="BG5" i="2"/>
  <c r="BG6" i="2"/>
  <c r="BG7" i="2"/>
  <c r="BG8" i="2"/>
  <c r="BG9" i="2"/>
  <c r="BG10" i="2"/>
  <c r="BH4" i="2"/>
  <c r="BH5" i="2"/>
  <c r="BH6" i="2"/>
  <c r="BH7" i="2"/>
  <c r="BH8" i="2"/>
  <c r="BH9" i="2"/>
  <c r="BH10" i="2"/>
  <c r="BI4" i="2"/>
  <c r="BI5" i="2"/>
  <c r="BI6" i="2"/>
  <c r="BI7" i="2"/>
  <c r="BI8" i="2"/>
  <c r="BI9" i="2"/>
  <c r="BI10" i="2"/>
  <c r="BJ4" i="2"/>
  <c r="BJ5" i="2"/>
  <c r="BJ6" i="2"/>
  <c r="BJ7" i="2"/>
  <c r="BJ8" i="2"/>
  <c r="BJ9" i="2"/>
  <c r="BJ10" i="2"/>
  <c r="BK4" i="2"/>
  <c r="BK5" i="2"/>
  <c r="BK6" i="2"/>
  <c r="BK7" i="2"/>
  <c r="BK8" i="2"/>
  <c r="BK9" i="2"/>
  <c r="BK10" i="2"/>
  <c r="BL4" i="2"/>
  <c r="BL5" i="2"/>
  <c r="BL6" i="2"/>
  <c r="BL7" i="2"/>
  <c r="BL8" i="2"/>
  <c r="BL9" i="2"/>
  <c r="BL10" i="2"/>
  <c r="BM4" i="2"/>
  <c r="BM5" i="2"/>
  <c r="BM6" i="2"/>
  <c r="BM7" i="2"/>
  <c r="BM8" i="2"/>
  <c r="BM9" i="2"/>
  <c r="BM10" i="2"/>
  <c r="BN4" i="2"/>
  <c r="BN5" i="2"/>
  <c r="BN6" i="2"/>
  <c r="BN7" i="2"/>
  <c r="BN8" i="2"/>
  <c r="BN9" i="2"/>
  <c r="BN10" i="2"/>
  <c r="BO4" i="2"/>
  <c r="BO5" i="2"/>
  <c r="BO6" i="2"/>
  <c r="BO7" i="2"/>
  <c r="BO8" i="2"/>
  <c r="BO9" i="2"/>
  <c r="BO10" i="2"/>
  <c r="BQ7" i="2" l="1"/>
  <c r="A243" i="24"/>
  <c r="S255" i="24"/>
  <c r="S254" i="24"/>
  <c r="S256" i="24"/>
  <c r="A242" i="24"/>
  <c r="AV276" i="24"/>
  <c r="BQ9" i="2"/>
  <c r="BQ8" i="2"/>
  <c r="BQ4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BP3" i="2" s="1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3" i="2"/>
  <c r="S288" i="24" l="1"/>
  <c r="S290" i="24"/>
  <c r="A277" i="24"/>
  <c r="S289" i="24"/>
  <c r="A276" i="24"/>
  <c r="S19" i="3"/>
  <c r="S18" i="3"/>
  <c r="A4" i="3"/>
  <c r="S16" i="3"/>
  <c r="S17" i="3"/>
  <c r="BQ3" i="2"/>
  <c r="S15" i="3" s="1"/>
  <c r="AH11" i="2"/>
  <c r="BP11" i="2"/>
  <c r="BQ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障害者支援課地域生活支援係</author>
  </authors>
  <commentList>
    <comment ref="L1" authorId="0" shapeId="0" xr:uid="{00000000-0006-0000-0700-000001000000}">
      <text>
        <r>
          <rPr>
            <b/>
            <sz val="11"/>
            <color indexed="81"/>
            <rFont val="MS P ゴシック"/>
            <family val="3"/>
            <charset val="128"/>
          </rPr>
          <t>1000円未満切り捨てでご入力ください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社会参加係　青野</author>
  </authors>
  <commentList>
    <comment ref="E31" authorId="0" shapeId="0" xr:uid="{00000000-0006-0000-0A00-000001000000}">
      <text>
        <r>
          <rPr>
            <sz val="12"/>
            <color indexed="81"/>
            <rFont val="BIZ UDPゴシック"/>
            <family val="3"/>
            <charset val="128"/>
          </rPr>
          <t>HPみたら理事長：熊谷さんになっていたが、正しくは千葉　雄成氏とのこと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社会参加係　青野</author>
  </authors>
  <commentList>
    <comment ref="AO53" authorId="0" shapeId="0" xr:uid="{00000000-0006-0000-0B00-000001000000}">
      <text>
        <r>
          <rPr>
            <sz val="10"/>
            <color indexed="81"/>
            <rFont val="BIZ UDPゴシック"/>
            <family val="3"/>
            <charset val="128"/>
          </rPr>
          <t>＜所要額調査との差分＞
・㈱ミツイ　△2,000,000
・イムカ㈱　△1,000,000
・希望の星　△681,580
・つどいの家　△593,090</t>
        </r>
      </text>
    </comment>
  </commentList>
</comments>
</file>

<file path=xl/sharedStrings.xml><?xml version="1.0" encoding="utf-8"?>
<sst xmlns="http://schemas.openxmlformats.org/spreadsheetml/2006/main" count="4993" uniqueCount="956">
  <si>
    <t>担当部署:参加団体-仙台市-健康福祉局障害福祉部障害企画課社会参加係</t>
  </si>
  <si>
    <t>受付フォーム名：令和3年度　生産活動拡大支援事業　所要額調について（依頼）</t>
  </si>
  <si>
    <t>番号</t>
  </si>
  <si>
    <t>到達番号</t>
  </si>
  <si>
    <t>到達日時</t>
  </si>
  <si>
    <t>状態</t>
  </si>
  <si>
    <t>申込方法</t>
  </si>
  <si>
    <t>抽選結果</t>
  </si>
  <si>
    <t>申請日</t>
  </si>
  <si>
    <t>団体・法人名</t>
  </si>
  <si>
    <t>団体・法人名(フリガナ)</t>
  </si>
  <si>
    <t>役職・部署名</t>
  </si>
  <si>
    <t>役職・部署名(フリガナ)</t>
  </si>
  <si>
    <t>氏名</t>
  </si>
  <si>
    <t>フリガナ</t>
  </si>
  <si>
    <t>生年月日</t>
  </si>
  <si>
    <t>性別</t>
  </si>
  <si>
    <t>郵便番号</t>
  </si>
  <si>
    <t>住所</t>
  </si>
  <si>
    <t>電話番号</t>
  </si>
  <si>
    <t>内線番号</t>
  </si>
  <si>
    <t>FAX番号</t>
  </si>
  <si>
    <t>携帯番号</t>
  </si>
  <si>
    <t>メールアドレス１</t>
  </si>
  <si>
    <t>メールアドレス２</t>
  </si>
  <si>
    <t>法人名</t>
  </si>
  <si>
    <t>事業所名</t>
  </si>
  <si>
    <t>事業所番号</t>
  </si>
  <si>
    <t>提供サービス</t>
  </si>
  <si>
    <t>担当者氏名</t>
  </si>
  <si>
    <t>担当者電話番号</t>
  </si>
  <si>
    <t>担当者メールアドレス（メールアドレス１）</t>
  </si>
  <si>
    <t>担当者メールアドレス（メールアドレス２）</t>
  </si>
  <si>
    <t>所要額</t>
  </si>
  <si>
    <t>「生産活動拡大支援事業　所要額調書」をアップロードしてください</t>
  </si>
  <si>
    <t>一括申請</t>
  </si>
  <si>
    <t>一括申請事業所数</t>
  </si>
  <si>
    <t>事業所名（別添1）</t>
  </si>
  <si>
    <t>事業所番号（別添1）</t>
  </si>
  <si>
    <t>提供サービス（別添1）</t>
  </si>
  <si>
    <t>所要額（別添1）</t>
  </si>
  <si>
    <t>事業所名（別添2）</t>
  </si>
  <si>
    <t>事業所番号（別添2）</t>
  </si>
  <si>
    <t>提供サービス（別添2）</t>
  </si>
  <si>
    <t>所要額（別添2）</t>
  </si>
  <si>
    <t>事業所名（別添3）</t>
  </si>
  <si>
    <t>事業所番号（別添3）</t>
  </si>
  <si>
    <t>提供サービス（別添3）</t>
  </si>
  <si>
    <t>所要額（別添3）</t>
  </si>
  <si>
    <t>事業所名（別添4）</t>
  </si>
  <si>
    <t>事業所番号（別添4）</t>
  </si>
  <si>
    <t>提供サービス（別添4）</t>
  </si>
  <si>
    <t>所要額（別添4）</t>
  </si>
  <si>
    <t>事業所名（別添5）</t>
  </si>
  <si>
    <t>事業所番号（別添5）</t>
  </si>
  <si>
    <t>提供サービス（別添5）</t>
  </si>
  <si>
    <t>所要額（別添5）</t>
  </si>
  <si>
    <t>事業所名（別添6）</t>
  </si>
  <si>
    <t>事業所番号（別添6）</t>
  </si>
  <si>
    <t>提供サービス（別添6）</t>
  </si>
  <si>
    <t>所要額（別添6）</t>
  </si>
  <si>
    <t>事業所名（別添7）</t>
  </si>
  <si>
    <t>事業所番号（別添7）</t>
  </si>
  <si>
    <t>提供サービス（別添7）</t>
  </si>
  <si>
    <t>所要額（別添7）</t>
  </si>
  <si>
    <t>備考欄</t>
  </si>
  <si>
    <t>履歴</t>
  </si>
  <si>
    <t>164_023_465_8900</t>
  </si>
  <si>
    <t>受付済み</t>
  </si>
  <si>
    <t>一般</t>
  </si>
  <si>
    <t>特定非営利活動法人みどり会</t>
  </si>
  <si>
    <t>鈴木俊洋</t>
  </si>
  <si>
    <t>080-3198-2982</t>
  </si>
  <si>
    <t>t-suzuki@s-midorikai.org</t>
  </si>
  <si>
    <t>みどり工房長町</t>
  </si>
  <si>
    <t>就労継続支援B型</t>
  </si>
  <si>
    <t>02_（別紙1）所要額調書_【特定非営利活動法人みどり会】.xlsx(90KB)</t>
  </si>
  <si>
    <t>一括申請予定あり</t>
  </si>
  <si>
    <t>別添1まで</t>
  </si>
  <si>
    <t>みどり工房泉中央</t>
  </si>
  <si>
    <t>2021/12/23 13:44:18 申し込み_x000D_
2021/12/23 13:47:04 「生産活動拡大支援事業　所要額調書」をアップロードしてください 添付ファイル 02_（別紙1）所要額調書_【特定非営利活動法人みどり会】.xlsx 無害化_x000D_
2021/12/23 15:41:49  受付完了(参加団体-仙台市-健康福祉局障害福祉部障害企画課社会参加係 審査者　１)</t>
  </si>
  <si>
    <t>申請日2</t>
  </si>
  <si>
    <t>法人内事業所申請数</t>
    <rPh sb="0" eb="2">
      <t>ホウジン</t>
    </rPh>
    <rPh sb="2" eb="3">
      <t>ナイ</t>
    </rPh>
    <rPh sb="3" eb="6">
      <t>ジギョウショ</t>
    </rPh>
    <rPh sb="6" eb="8">
      <t>シンセイ</t>
    </rPh>
    <rPh sb="8" eb="9">
      <t>スウ</t>
    </rPh>
    <phoneticPr fontId="1"/>
  </si>
  <si>
    <t>集計</t>
  </si>
  <si>
    <t>出力日時：2021/12/28 17:05:04</t>
  </si>
  <si>
    <t>164_040_016_8689</t>
  </si>
  <si>
    <t>社会福祉法人仙台市障害者福祉協会</t>
  </si>
  <si>
    <t>佐々木優子</t>
  </si>
  <si>
    <t>022-247-2940</t>
  </si>
  <si>
    <t>sensyouan@shinsyou-sendai.or.jp</t>
  </si>
  <si>
    <t>せんしょう庵</t>
  </si>
  <si>
    <t>コピー02_（別紙1）所要額調書_【仙台市障害者福祉協会】.xlsx(90KB)</t>
  </si>
  <si>
    <t>一括申請予定なし</t>
  </si>
  <si>
    <t>2021/12/25 11:42:48 申し込み_x000D_
2021/12/25 11:45:13 「生産活動拡大支援事業　所要額調書」をアップロードしてください 添付ファイル コピー02_（別紙1）所要額調書_【仙台市障害者福祉協会】.xlsx 無害化_x000D_
2021/12/28 10:11:20  受付完了(参加団体-仙台市-健康福祉局障害福祉部障害企画課社会参加係 審査者　１)</t>
  </si>
  <si>
    <t>164_040_440_3302</t>
  </si>
  <si>
    <t>認定特定非営利活動法人ばざーる太白社会事業センター</t>
  </si>
  <si>
    <t>管理者　千田裕子</t>
  </si>
  <si>
    <t>022-228-5060</t>
  </si>
  <si>
    <t>kibounohoshib@yahoo.co.jp</t>
  </si>
  <si>
    <t>希望の星</t>
  </si>
  <si>
    <t>02_（別紙1）所要額調書_【認定NPO法人ばざーる太白社会事業センター】.xlsx(91KB)</t>
  </si>
  <si>
    <t>2021/12/25 12:53:23 申し込み_x000D_
2021/12/25 12:55:03 「生産活動拡大支援事業　所要額調書」をアップロードしてください 添付ファイル 02_（別紙1）所要額調書_【認定NPO法人ばざーる太白社会事業センター】.xlsx 無害化_x000D_
2021/12/27 11:53:30  受付完了(参加団体-仙台市-健康福祉局障害福祉部障害企画課社会参加係 審査者　１)</t>
  </si>
  <si>
    <t>164_058_455_7427</t>
  </si>
  <si>
    <t>株式会社なでしこ</t>
  </si>
  <si>
    <t>太田　未央</t>
  </si>
  <si>
    <t>022-385-7223</t>
  </si>
  <si>
    <t>mio.ota@tcm-s.jp</t>
  </si>
  <si>
    <t>kanada@tcm-s.jp</t>
  </si>
  <si>
    <t>就労継続支援事業所なでしこ</t>
  </si>
  <si>
    <t>02_（別紙1）所要額調書_【なでしこ】.xlsx(90KB)</t>
  </si>
  <si>
    <t>就労継続支援A型</t>
  </si>
  <si>
    <t>2021/12/27 14:55:57 申し込み_x000D_
2021/12/27 14:57:14 「生産活動拡大支援事業　所要額調書」をアップロードしてください 添付ファイル 02_（別紙1）所要額調書_【なでしこ】.xlsx 無害化_x000D_
2021/12/28 09:56:10  受付完了(参加団体-仙台市-健康福祉局障害福祉部障害企画課社会参加係 審査者　１)</t>
  </si>
  <si>
    <t>164_060_579_6450</t>
  </si>
  <si>
    <t>特定非営利活動法人ほっぷの森</t>
  </si>
  <si>
    <t>菊田俊彦</t>
  </si>
  <si>
    <t>022-299-2888</t>
  </si>
  <si>
    <t>kikuta@hop-miyagi.org</t>
  </si>
  <si>
    <t>TFU Cafeteria Olive</t>
  </si>
  <si>
    <t>02_（別紙1）所要額調書_【ここに法人名を記載してください】.xlsx(90KB)</t>
  </si>
  <si>
    <t>2021/12/27 20:49:56 申し込み_x000D_
2021/12/27 20:51:03 「生産活動拡大支援事業　所要額調書」をアップロードしてください 添付ファイル 02_（別紙1）所要額調書_【ここに法人名を記載してください】.xlsx 無害化_x000D_
2021/12/28 08:32:40  受付完了(参加団体-仙台市-健康福祉局障害福祉部障害企画課社会参加係 審査者　１)</t>
  </si>
  <si>
    <t>164_065_249_9042</t>
  </si>
  <si>
    <t>社会福祉法人みんなの広場</t>
  </si>
  <si>
    <t>黒澤　尚樹</t>
  </si>
  <si>
    <t>022-275-2101</t>
  </si>
  <si>
    <t>kimachi_kurosawa@msn.com</t>
  </si>
  <si>
    <t>hiroba2002yokoya@live.jp</t>
  </si>
  <si>
    <t>みんなの広場（工房きまち）</t>
  </si>
  <si>
    <t>（別紙1）所要額調書_【社会福祉法人みんなの広場　工房きまち】.xlsx(89KB)</t>
  </si>
  <si>
    <t>2021/12/28 09:48:19 申し込み_x000D_
2021/12/28 09:51:03 「生産活動拡大支援事業　所要額調書」をアップロードしてください 添付ファイル （別紙1）所要額調書_【社会福祉法人みんなの広場　工房きまち】.xlsx 無害化_x000D_
2021/12/28 10:07:03  受付完了(参加団体-仙台市-健康福祉局障害福祉部障害企画課社会参加係 審査者　１)</t>
  </si>
  <si>
    <t>164_066_461_9039</t>
  </si>
  <si>
    <t>社会福祉法人なのはな会</t>
  </si>
  <si>
    <t>事務　只野福恵</t>
  </si>
  <si>
    <t>022-727-2345</t>
  </si>
  <si>
    <t>hama-yuu@nifty.com</t>
  </si>
  <si>
    <t>はまゆう</t>
  </si>
  <si>
    <t>02_（別紙1）所要額調書_【なのはな会はまゆう.xlsx(90KB)</t>
  </si>
  <si>
    <t>2021/12/28 13:10:19 申し込み_x000D_
2021/12/28 13:13:19 「生産活動拡大支援事業　所要額調書」をアップロードしてください 添付ファイル 02_（別紙1）所要額調書_【なのはな会はまゆう.xlsx 無害化_x000D_
2021/12/28 13:39:51  受付完了(参加団体-仙台市-健康福祉局障害福祉部障害企画課社会参加係 審査者　１)</t>
  </si>
  <si>
    <t>164_066_700_4290</t>
  </si>
  <si>
    <t>株式会社MAYURA</t>
  </si>
  <si>
    <t>千葉　真由美</t>
  </si>
  <si>
    <t>090-2667-7789</t>
  </si>
  <si>
    <t>mayumi@mayura-partner.jp</t>
  </si>
  <si>
    <t>Ma rue</t>
  </si>
  <si>
    <t>02_（別紙1）所要額調書_【株式会社MAYURA】.xlsx(101KB)</t>
  </si>
  <si>
    <t>2021/12/28 13:50:04 申し込み_x000D_
2021/12/28 13:53:14 「生産活動拡大支援事業　所要額調書」をアップロードしてください 添付ファイル 02_（別紙1）所要額調書_【株式会社MAYURA】.xlsx 無害化_x000D_
2021/12/28 15:02:25  受付完了(参加団体-仙台市-健康福祉局障害福祉部障害企画課社会参加係 審査者　１)</t>
  </si>
  <si>
    <t>164_066_874_2081</t>
  </si>
  <si>
    <t>特定非営利活動法人　博英舎・こころや</t>
  </si>
  <si>
    <t>山家　諭</t>
  </si>
  <si>
    <t>022-728-8343</t>
  </si>
  <si>
    <t>kokoroya-3@if-n.ne.jp</t>
  </si>
  <si>
    <t>こころや</t>
  </si>
  <si>
    <t>02_（別紙1）所要額調書_【特定非営利活動法人 博英舎・こころや】.xlsx(89KB)</t>
  </si>
  <si>
    <t>就労継続支援Ｂ型事業所 こころや</t>
  </si>
  <si>
    <t>2021/12/28 14:19:02 申し込み_x000D_
2021/12/28 14:21:13 「生産活動拡大支援事業　所要額調書」をアップロードしてください 添付ファイル 02_（別紙1）所要額調書_【特定非営利活動法人 博英舎・こころや】.xlsx 無害化_x000D_
2021/12/28 17:02:20  受付完了(参加団体-仙台市-健康福祉局障害福祉部障害企画課社会参加係 審査者　１)</t>
  </si>
  <si>
    <t>別添3まで</t>
  </si>
  <si>
    <t>別添4まで</t>
  </si>
  <si>
    <t>別添5まで</t>
  </si>
  <si>
    <t>別添6まで</t>
  </si>
  <si>
    <t>別添7まで</t>
  </si>
  <si>
    <t>助成額合計</t>
    <rPh sb="0" eb="2">
      <t>ジョセイ</t>
    </rPh>
    <rPh sb="2" eb="3">
      <t>ガク</t>
    </rPh>
    <rPh sb="3" eb="5">
      <t>ゴウケイ</t>
    </rPh>
    <phoneticPr fontId="1"/>
  </si>
  <si>
    <t>総事業費</t>
    <rPh sb="0" eb="4">
      <t>ソウジギョウヒ</t>
    </rPh>
    <phoneticPr fontId="1"/>
  </si>
  <si>
    <t>事業所名</t>
    <rPh sb="0" eb="3">
      <t>ジギョウショ</t>
    </rPh>
    <rPh sb="3" eb="4">
      <t>メイ</t>
    </rPh>
    <phoneticPr fontId="1"/>
  </si>
  <si>
    <t>仙台市生産活動拡大支援事業補助金の内示について</t>
    <rPh sb="0" eb="3">
      <t>センダイシ</t>
    </rPh>
    <rPh sb="3" eb="5">
      <t>セイサン</t>
    </rPh>
    <rPh sb="5" eb="7">
      <t>カツドウ</t>
    </rPh>
    <rPh sb="7" eb="9">
      <t>カクダイ</t>
    </rPh>
    <rPh sb="9" eb="11">
      <t>シエン</t>
    </rPh>
    <rPh sb="11" eb="13">
      <t>ジギョウ</t>
    </rPh>
    <rPh sb="13" eb="16">
      <t>ホジョキン</t>
    </rPh>
    <rPh sb="17" eb="19">
      <t>ナイジ</t>
    </rPh>
    <phoneticPr fontId="5"/>
  </si>
  <si>
    <t>仙台市健康福祉局障害福祉部障害企画課長　</t>
    <rPh sb="0" eb="3">
      <t>センダイシ</t>
    </rPh>
    <rPh sb="3" eb="5">
      <t>ケンコウ</t>
    </rPh>
    <rPh sb="5" eb="7">
      <t>フクシ</t>
    </rPh>
    <rPh sb="7" eb="8">
      <t>キョク</t>
    </rPh>
    <rPh sb="8" eb="10">
      <t>ショウガイ</t>
    </rPh>
    <rPh sb="10" eb="12">
      <t>フクシ</t>
    </rPh>
    <rPh sb="12" eb="13">
      <t>ブ</t>
    </rPh>
    <rPh sb="13" eb="15">
      <t>ショウガイ</t>
    </rPh>
    <rPh sb="15" eb="17">
      <t>キカク</t>
    </rPh>
    <rPh sb="17" eb="18">
      <t>カ</t>
    </rPh>
    <rPh sb="18" eb="19">
      <t>チョウ</t>
    </rPh>
    <phoneticPr fontId="1"/>
  </si>
  <si>
    <t>　平素より、本市障害福祉施策にご理解とご協力賜り感謝申し上げます。
　令和3年12月20日付R3健障障第2296号で依頼した令和3年度生産活動拡大支援事業の実施に係る所要額調を踏まえ、本補助金に係る補助額について、下記のとおり内示いたします。</t>
    <rPh sb="1" eb="3">
      <t>ヘイソ</t>
    </rPh>
    <rPh sb="6" eb="8">
      <t>ホンシ</t>
    </rPh>
    <rPh sb="7" eb="8">
      <t>ニホン</t>
    </rPh>
    <rPh sb="8" eb="10">
      <t>ショウガイ</t>
    </rPh>
    <rPh sb="10" eb="12">
      <t>フクシ</t>
    </rPh>
    <rPh sb="12" eb="14">
      <t>シサク</t>
    </rPh>
    <rPh sb="16" eb="18">
      <t>リカイ</t>
    </rPh>
    <rPh sb="20" eb="22">
      <t>キョウリョク</t>
    </rPh>
    <rPh sb="22" eb="23">
      <t>タマワ</t>
    </rPh>
    <rPh sb="24" eb="26">
      <t>カンシャ</t>
    </rPh>
    <rPh sb="26" eb="27">
      <t>モウ</t>
    </rPh>
    <rPh sb="28" eb="29">
      <t>ア</t>
    </rPh>
    <rPh sb="35" eb="37">
      <t>レイワ</t>
    </rPh>
    <rPh sb="38" eb="39">
      <t>ネン</t>
    </rPh>
    <rPh sb="41" eb="42">
      <t>ガツ</t>
    </rPh>
    <rPh sb="44" eb="45">
      <t>ニチ</t>
    </rPh>
    <rPh sb="45" eb="46">
      <t>ヅケ</t>
    </rPh>
    <rPh sb="48" eb="49">
      <t>ケン</t>
    </rPh>
    <rPh sb="49" eb="50">
      <t>ショウ</t>
    </rPh>
    <rPh sb="50" eb="51">
      <t>ショウ</t>
    </rPh>
    <rPh sb="51" eb="52">
      <t>ダイ</t>
    </rPh>
    <rPh sb="56" eb="57">
      <t>ゴウ</t>
    </rPh>
    <rPh sb="58" eb="60">
      <t>イライ</t>
    </rPh>
    <rPh sb="62" eb="64">
      <t>レイワ</t>
    </rPh>
    <rPh sb="65" eb="67">
      <t>ネンド</t>
    </rPh>
    <rPh sb="67" eb="69">
      <t>セイサン</t>
    </rPh>
    <rPh sb="69" eb="71">
      <t>カツドウ</t>
    </rPh>
    <rPh sb="71" eb="73">
      <t>カクダイ</t>
    </rPh>
    <rPh sb="73" eb="75">
      <t>シエン</t>
    </rPh>
    <rPh sb="75" eb="77">
      <t>ジギョウ</t>
    </rPh>
    <rPh sb="78" eb="80">
      <t>ジッシ</t>
    </rPh>
    <rPh sb="81" eb="82">
      <t>カカ</t>
    </rPh>
    <rPh sb="83" eb="85">
      <t>ショヨウ</t>
    </rPh>
    <rPh sb="85" eb="86">
      <t>ガク</t>
    </rPh>
    <rPh sb="86" eb="87">
      <t>シラ</t>
    </rPh>
    <rPh sb="88" eb="89">
      <t>フ</t>
    </rPh>
    <rPh sb="92" eb="93">
      <t>ホン</t>
    </rPh>
    <rPh sb="93" eb="96">
      <t>ホジョキン</t>
    </rPh>
    <rPh sb="97" eb="98">
      <t>カカ</t>
    </rPh>
    <rPh sb="99" eb="101">
      <t>ホジョ</t>
    </rPh>
    <rPh sb="101" eb="102">
      <t>ガク</t>
    </rPh>
    <rPh sb="107" eb="109">
      <t>カキ</t>
    </rPh>
    <rPh sb="113" eb="115">
      <t>ナイジ</t>
    </rPh>
    <phoneticPr fontId="1"/>
  </si>
  <si>
    <t>記</t>
    <rPh sb="0" eb="1">
      <t>キ</t>
    </rPh>
    <phoneticPr fontId="1"/>
  </si>
  <si>
    <t>補助内示額</t>
    <rPh sb="0" eb="2">
      <t>ホジョ</t>
    </rPh>
    <rPh sb="2" eb="5">
      <t>ナイジガク</t>
    </rPh>
    <phoneticPr fontId="1"/>
  </si>
  <si>
    <t>円</t>
    <rPh sb="0" eb="1">
      <t>エン</t>
    </rPh>
    <phoneticPr fontId="1"/>
  </si>
  <si>
    <t>事業種別</t>
    <rPh sb="0" eb="2">
      <t>ジギョウ</t>
    </rPh>
    <rPh sb="2" eb="4">
      <t>シュベツ</t>
    </rPh>
    <phoneticPr fontId="1"/>
  </si>
  <si>
    <t>一括申請予定なし</t>
    <rPh sb="0" eb="2">
      <t>イッカツ</t>
    </rPh>
    <rPh sb="2" eb="4">
      <t>シンセイ</t>
    </rPh>
    <rPh sb="4" eb="6">
      <t>ヨテイ</t>
    </rPh>
    <phoneticPr fontId="1"/>
  </si>
  <si>
    <t>Ｒ３健障障第2956号</t>
    <rPh sb="2" eb="3">
      <t>ケン</t>
    </rPh>
    <rPh sb="3" eb="4">
      <t>ショウ</t>
    </rPh>
    <rPh sb="4" eb="5">
      <t>ショウ</t>
    </rPh>
    <rPh sb="5" eb="6">
      <t>ダイ</t>
    </rPh>
    <rPh sb="10" eb="11">
      <t>ゴウ</t>
    </rPh>
    <phoneticPr fontId="1"/>
  </si>
  <si>
    <t>理事長様</t>
    <rPh sb="0" eb="3">
      <t>リジチョウ</t>
    </rPh>
    <rPh sb="3" eb="4">
      <t>サマ</t>
    </rPh>
    <phoneticPr fontId="1"/>
  </si>
  <si>
    <t>過去の補助実績</t>
    <rPh sb="0" eb="2">
      <t>カコ</t>
    </rPh>
    <rPh sb="3" eb="5">
      <t>ホジョ</t>
    </rPh>
    <rPh sb="5" eb="7">
      <t>ジッセキ</t>
    </rPh>
    <phoneticPr fontId="9"/>
  </si>
  <si>
    <t>法人名</t>
    <rPh sb="0" eb="2">
      <t>ホウジン</t>
    </rPh>
    <rPh sb="2" eb="3">
      <t>メイ</t>
    </rPh>
    <phoneticPr fontId="9"/>
  </si>
  <si>
    <t>事業所名</t>
    <rPh sb="0" eb="3">
      <t>ジギョウショ</t>
    </rPh>
    <rPh sb="3" eb="4">
      <t>メイ</t>
    </rPh>
    <phoneticPr fontId="9"/>
  </si>
  <si>
    <t>主な提供サービス</t>
    <rPh sb="0" eb="1">
      <t>オモ</t>
    </rPh>
    <rPh sb="2" eb="4">
      <t>テイキョウ</t>
    </rPh>
    <phoneticPr fontId="9"/>
  </si>
  <si>
    <t>採択希望順位</t>
    <rPh sb="0" eb="2">
      <t>サイタク</t>
    </rPh>
    <rPh sb="2" eb="4">
      <t>キボウ</t>
    </rPh>
    <rPh sb="4" eb="6">
      <t>ジュンイ</t>
    </rPh>
    <phoneticPr fontId="10"/>
  </si>
  <si>
    <t>チェック</t>
    <phoneticPr fontId="10"/>
  </si>
  <si>
    <t>参考：　採択（予定）金額</t>
    <rPh sb="0" eb="2">
      <t>サンコウ</t>
    </rPh>
    <rPh sb="4" eb="6">
      <t>サイタク</t>
    </rPh>
    <rPh sb="7" eb="9">
      <t>ヨテイ</t>
    </rPh>
    <rPh sb="10" eb="12">
      <t>キンガク</t>
    </rPh>
    <phoneticPr fontId="10"/>
  </si>
  <si>
    <t>コメント</t>
    <phoneticPr fontId="10"/>
  </si>
  <si>
    <t>なし</t>
  </si>
  <si>
    <t>特定非営利活動法人多夢多夢舎中山工房</t>
  </si>
  <si>
    <t>多夢多夢舎中山工房</t>
  </si>
  <si>
    <t>○</t>
  </si>
  <si>
    <t>びすた～りフードマーケット</t>
  </si>
  <si>
    <t>特定非営利活動法人シャロームの会</t>
  </si>
  <si>
    <t>なし</t>
    <phoneticPr fontId="10"/>
  </si>
  <si>
    <t>株式会社good conviction</t>
  </si>
  <si>
    <t>就労・自立支援ひらく</t>
  </si>
  <si>
    <t>就労移行支援</t>
  </si>
  <si>
    <t>特定非営利活動法人　フルハウス</t>
  </si>
  <si>
    <t>コッペ</t>
  </si>
  <si>
    <t>imukat 株式会社</t>
  </si>
  <si>
    <t>imukat Lab.</t>
  </si>
  <si>
    <t>×</t>
  </si>
  <si>
    <t>就労継続支援事業所の利用者が利用するために用いるものであり、職員の生産性向上につながっていない。</t>
    <rPh sb="0" eb="2">
      <t>シュウロウ</t>
    </rPh>
    <rPh sb="2" eb="4">
      <t>ケイゾク</t>
    </rPh>
    <rPh sb="4" eb="6">
      <t>シエン</t>
    </rPh>
    <rPh sb="6" eb="9">
      <t>ジギョウショ</t>
    </rPh>
    <rPh sb="10" eb="13">
      <t>リヨウシャ</t>
    </rPh>
    <rPh sb="14" eb="16">
      <t>リヨウ</t>
    </rPh>
    <rPh sb="21" eb="22">
      <t>モチ</t>
    </rPh>
    <rPh sb="30" eb="32">
      <t>ショクイン</t>
    </rPh>
    <rPh sb="33" eb="36">
      <t>セイサンセイ</t>
    </rPh>
    <rPh sb="36" eb="38">
      <t>コウジョウ</t>
    </rPh>
    <phoneticPr fontId="10"/>
  </si>
  <si>
    <t>オリーブの樹</t>
  </si>
  <si>
    <t>オリーブの実</t>
  </si>
  <si>
    <t>フリースペースソレイユ</t>
  </si>
  <si>
    <t>株式会社ミツイ</t>
  </si>
  <si>
    <t>Rickeyクルーズ　仙台青葉通</t>
  </si>
  <si>
    <t>社会福祉法人　ふれあいの森</t>
  </si>
  <si>
    <t>多機能型事業所　向日葵ファミリー</t>
  </si>
  <si>
    <t>Rickeyクルーズ　あすと長町</t>
  </si>
  <si>
    <t>Rickeyクルーズ　長町南</t>
  </si>
  <si>
    <t>社会福祉法人つどいの家</t>
  </si>
  <si>
    <t>ぺんたす</t>
  </si>
  <si>
    <t>居宅介護</t>
  </si>
  <si>
    <t>№２及び３のアルコール探知機は、補助対象外。本事業での助成になじまない。</t>
    <rPh sb="2" eb="3">
      <t>オヨ</t>
    </rPh>
    <rPh sb="11" eb="14">
      <t>タンチキ</t>
    </rPh>
    <rPh sb="16" eb="18">
      <t>ホジョ</t>
    </rPh>
    <rPh sb="18" eb="21">
      <t>タイショウガイ</t>
    </rPh>
    <rPh sb="22" eb="23">
      <t>ホン</t>
    </rPh>
    <rPh sb="23" eb="25">
      <t>ジギョウ</t>
    </rPh>
    <rPh sb="27" eb="29">
      <t>ジョセイ</t>
    </rPh>
    <phoneticPr fontId="10"/>
  </si>
  <si>
    <t>社会福祉法人　つどいの家</t>
  </si>
  <si>
    <t>ぴぼっと</t>
  </si>
  <si>
    <t>相談支援事業所　未来</t>
  </si>
  <si>
    <t>計画相談支援</t>
  </si>
  <si>
    <t>ヘルパーステーション大空</t>
  </si>
  <si>
    <t>特定非営利活動法人自閉症ピアリンクセンターここねっと</t>
  </si>
  <si>
    <t>仙台市自閉症相談センター</t>
  </si>
  <si>
    <t>一般社団法人IGUNAL</t>
  </si>
  <si>
    <t>ぴぼっと支倉</t>
  </si>
  <si>
    <t>パルクシステム株式会社</t>
  </si>
  <si>
    <t>パルクケアサービスセンター</t>
  </si>
  <si>
    <t>障害者相談支援事業所　向日葵ライフサポートセンター</t>
  </si>
  <si>
    <t>社会福祉法人　みずきの郷</t>
  </si>
  <si>
    <t>ひかり苑</t>
  </si>
  <si>
    <t>生活介護</t>
  </si>
  <si>
    <t>リーフラス株式会社</t>
  </si>
  <si>
    <t>LEIF東仙台</t>
  </si>
  <si>
    <t>放課後等デイサービス</t>
  </si>
  <si>
    <t>仙台つどいの家</t>
  </si>
  <si>
    <t>合同会社B－ダッシュ</t>
  </si>
  <si>
    <t>共同生活援助グループホームノコノコ</t>
  </si>
  <si>
    <t>共同生活援助</t>
  </si>
  <si>
    <t>ひこうき雲</t>
  </si>
  <si>
    <t>八木山つどいの家</t>
  </si>
  <si>
    <t>社会福祉法人仙台市手をつなぐ育成会</t>
  </si>
  <si>
    <t>ホープすずかけ</t>
  </si>
  <si>
    <t>つどいの家・アプリ</t>
  </si>
  <si>
    <t>№４のアルコールチェック機器は、補助対象外。本事業での助成に馴染まない。</t>
    <rPh sb="12" eb="14">
      <t>キキ</t>
    </rPh>
    <rPh sb="16" eb="18">
      <t>ホジョ</t>
    </rPh>
    <rPh sb="18" eb="21">
      <t>タイショウガイ</t>
    </rPh>
    <rPh sb="22" eb="23">
      <t>ホン</t>
    </rPh>
    <rPh sb="23" eb="25">
      <t>ジギョウ</t>
    </rPh>
    <rPh sb="27" eb="29">
      <t>ジョセイ</t>
    </rPh>
    <rPh sb="30" eb="32">
      <t>ナジ</t>
    </rPh>
    <phoneticPr fontId="10"/>
  </si>
  <si>
    <t>あゆみ</t>
  </si>
  <si>
    <t>みのり</t>
  </si>
  <si>
    <t>めぐみ</t>
  </si>
  <si>
    <t>ここねっとステップ</t>
  </si>
  <si>
    <t>自立訓練</t>
  </si>
  <si>
    <t>ここねっとホーム</t>
  </si>
  <si>
    <t>ハーモニー</t>
  </si>
  <si>
    <t>社会福祉法人陽光福祉会</t>
  </si>
  <si>
    <t>仙台エコー医療療育センター</t>
  </si>
  <si>
    <t>療養介護</t>
  </si>
  <si>
    <t>特定非営利活動法人ぴあいんく</t>
  </si>
  <si>
    <t>ぴあにか</t>
  </si>
  <si>
    <t>Rickeyアカデミー　あすと長町</t>
  </si>
  <si>
    <t>Rickeyアカデミージュニア　仙台西中田</t>
  </si>
  <si>
    <t>Rickeyアカデミー　仙台青葉通</t>
  </si>
  <si>
    <t>リッキーガーデン　あすと長町</t>
  </si>
  <si>
    <t>児童発達支援</t>
  </si>
  <si>
    <t>共同生活援助事業所　グループホームふくろばら</t>
  </si>
  <si>
    <t>つどいの家・コペル</t>
  </si>
  <si>
    <t>№３のアルコールチェック機器は、補助対象外。本事業での助成に馴染まない。</t>
    <rPh sb="12" eb="14">
      <t>キキ</t>
    </rPh>
    <rPh sb="16" eb="18">
      <t>ホジョ</t>
    </rPh>
    <rPh sb="18" eb="21">
      <t>タイショウガイ</t>
    </rPh>
    <rPh sb="22" eb="23">
      <t>ホン</t>
    </rPh>
    <rPh sb="23" eb="25">
      <t>ジギョウ</t>
    </rPh>
    <rPh sb="27" eb="29">
      <t>ジョセイ</t>
    </rPh>
    <rPh sb="30" eb="32">
      <t>ナジ</t>
    </rPh>
    <phoneticPr fontId="10"/>
  </si>
  <si>
    <t>№</t>
    <phoneticPr fontId="9"/>
  </si>
  <si>
    <t>アトリエぶどうの木</t>
  </si>
  <si>
    <t>アトリエぶどうの木</t>
    <phoneticPr fontId="1"/>
  </si>
  <si>
    <t>社会福祉法人　つどいの家</t>
    <phoneticPr fontId="1"/>
  </si>
  <si>
    <t>社会福祉法人仙台市手をつなぐ育成会</t>
    <phoneticPr fontId="1"/>
  </si>
  <si>
    <t>メールアドレス（メールアドレス１）</t>
  </si>
  <si>
    <t>メールアドレス（メールアドレス２）</t>
  </si>
  <si>
    <t>国庫補助対象経費の実支出（予定）額</t>
  </si>
  <si>
    <t>国庫補助基本額【上限100万円】</t>
  </si>
  <si>
    <t>「（別紙２）所要見込額調書」をアップロードしてください。</t>
  </si>
  <si>
    <t>「（別紙３）所要見込額内訳書」をアップロードしてください。</t>
  </si>
  <si>
    <t>パンフレット等、導入する機器の概要が分かる資料をアップロードしてください。</t>
  </si>
  <si>
    <t>チェック2</t>
  </si>
  <si>
    <t>163_972_646_2026</t>
  </si>
  <si>
    <t/>
  </si>
  <si>
    <t>令和3年12月17日</t>
  </si>
  <si>
    <t>大越裕生</t>
  </si>
  <si>
    <t>tamutamusha@iaa.itkeeper.ne.jp</t>
  </si>
  <si>
    <t>就労継続支援Ｂ型</t>
  </si>
  <si>
    <t>02_（別紙２）所要見込額調書_（提供サービス名）【事業所名】 (2).xlsx(39KB)</t>
  </si>
  <si>
    <t>03_（別紙３）所要見込額内訳書_（提供サービス名）【事業所名】.xlsx(16KB)</t>
  </si>
  <si>
    <t>カタログ等.pdf(2.49MB)</t>
  </si>
  <si>
    <t>2021/12/17 16:34:22 申し込み_x000D_
2021/12/17 16:37:15 「（別紙２）所要見込額調書」をアップロードしてください。 添付ファイル 02_（別紙２）所要見込額調書_（提供サービス名）【事業所名】 (2).xlsx 無害化_x000D_
2021/12/17 16:37:16 「（別紙３）所要見込額内訳書」をアップロードしてください。 添付ファイル 03_（別紙３）所要見込額内訳書_（提供サービス名）【事業所名】.xlsx 無害化_x000D_
2021/12/17 16:37:17 パンフレット等、導入する機器の概要が分かる資料をアップロードしてください。 添付ファイル カタログ等.pdf 無害化_x000D_
2021/12/20 13:50:02  受付完了(参加団体-仙台市-健康福祉局障害福祉部障害企画課社会参加係 審査者　１)</t>
  </si>
  <si>
    <t>163_999_705_2374</t>
  </si>
  <si>
    <t>令和3年12月20日</t>
  </si>
  <si>
    <t>就労継続支援Ａ型</t>
  </si>
  <si>
    <t>（別紙２）所要見込額調書.xlsx(31KB)</t>
  </si>
  <si>
    <t>（別紙３）所要見込額内訳書.xlsx(16KB)</t>
  </si>
  <si>
    <t>オリーブ見積書.pdf(148KB)</t>
  </si>
  <si>
    <t>2021/12/20 19:44:12 申し込み_x000D_
2021/12/20 19:47:06 「（別紙２）所要見込額調書」をアップロードしてください。 添付ファイル （別紙２）所要見込額調書.xlsx 無害化_x000D_
2021/12/20 19:47:07 「（別紙３）所要見込額内訳書」をアップロードしてください。 添付ファイル （別紙３）所要見込額内訳書.xlsx 無害化_x000D_
2021/12/20 19:47:08 パンフレット等、導入する機器の概要が分かる資料をアップロードしてください。 添付ファイル オリーブ見積書.pdf 無害化_x000D_
2021/12/20 19:53:32  受付完了(参加団体-仙台市-健康福祉局障害福祉部障害企画課社会参加係 審査者　１)</t>
  </si>
  <si>
    <t>163_999_892_3641</t>
  </si>
  <si>
    <t>令和3年12月21日</t>
  </si>
  <si>
    <t>02_（別紙２）所要見込額調書_（提供サービス名）【事業所名】 (1).xlsx(39KB)</t>
  </si>
  <si>
    <t>03_（別紙３）所要見込額内訳書_（提供サービス名）【事業所名】.xlsx(15KB)</t>
  </si>
  <si>
    <t>フードマーケット見積.pdf(408KB)</t>
  </si>
  <si>
    <t>2021/12/20 20:15:23 申し込み_x000D_
2021/12/20 20:17:15 「（別紙２）所要見込額調書」をアップロードしてください。 添付ファイル 02_（別紙２）所要見込額調書_（提供サービス名）【事業所名】 (1).xlsx 無害化_x000D_
2021/12/20 20:17:16 「（別紙３）所要見込額内訳書」をアップロードしてください。 添付ファイル 03_（別紙３）所要見込額内訳書_（提供サービス名）【事業所名】.xlsx 無害化_x000D_
2021/12/20 20:17:17 パンフレット等、導入する機器の概要が分かる資料をアップロードしてください。 添付ファイル フードマーケット見積.pdf 無害化_x000D_
2021/12/20 21:29:33 補正指示(参加団体-仙台市-健康福祉局障害福祉部障害者支援課施設支援係 審査者　１)_x000D_
2021/12/21 16:44:01 補正_x000D_
2021/12/21 16:45:16 「（別紙２）所要見込額調書」をアップロードしてください。 添付ファイル 02_（別紙２）所要見込額調書_（提供サービス名）【事業所名】 (1).xlsx 無害化_x000D_
2021/12/21 16:45:17 「（別紙３）所要見込額内訳書」をアップロードしてください。 添付ファイル 03_（別紙３）所要見込額内訳書_（提供サービス名）【事業所名】.xlsx 無害化_x000D_
2021/12/21 16:45:18 パンフレット等、導入する機器の概要が分かる資料をアップロードしてください。 添付ファイル フードマーケット見積.pdf 無害化_x000D_
2021/12/21 17:54:12 補正指示(参加団体-仙台市-健康福祉局障害福祉部障害者支援課施設支援係 審査者　１)_x000D_
2021/12/21 17:57:34 補正_x000D_
2021/12/21 17:59:05 「（別紙２）所要見込額調書」をアップロードしてください。 添付ファイル 02_（別紙２）所要見込額調書_（提供サービス名）【事業所名】 (1).xlsx 無害化_x000D_
2021/12/21 17:59:06 「（別紙３）所要見込額内訳書」をアップロードしてください。 添付ファイル 03_（別紙３）所要見込額内訳書_（提供サービス名）【事業所名】.xlsx 無害化_x000D_
2021/12/21 17:59:07 パンフレット等、導入する機器の概要が分かる資料をアップロードしてください。 添付ファイル フードマーケット見積.pdf 無害化_x000D_
2021/12/21 18:09:44  受付完了(参加団体-仙台市-健康福祉局障害福祉部障害企画課社会参加係 審査者　１)</t>
  </si>
  <si>
    <t>164_005_112_0784</t>
  </si>
  <si>
    <t>小野寺　健</t>
  </si>
  <si>
    <t>sharoomudesu@mountain.ocn.ne.jp</t>
  </si>
  <si>
    <t>（別紙２）所要見込額調書_（提供サービス名）【ぶどうの木】.xlsx(39KB)</t>
  </si>
  <si>
    <t>（別紙３）所要見込額内訳書_（提供サービス名）【ぶどうの木】.xlsx(15KB)</t>
  </si>
  <si>
    <t>ICT導入モデル添付資料.zip(3.48MB)</t>
  </si>
  <si>
    <t>2021/12/21 10:45:20 申し込み_x000D_
2021/12/21 10:47:04 「（別紙２）所要見込額調書」をアップロードしてください。 添付ファイル （別紙２）所要見込額調書_（提供サービス名）【ぶどうの木】.xlsx 無害化_x000D_
2021/12/21 10:47:05 「（別紙３）所要見込額内訳書」をアップロードしてください。 添付ファイル （別紙３）所要見込額内訳書_（提供サービス名）【ぶどうの木】.xlsx 無害化_x000D_
2021/12/21 10:47:06 パンフレット等、導入する機器の概要が分かる資料をアップロードしてください。 添付ファイル ICT導入モデル添付資料.zip 無害化_x000D_
2021/12/21 17:42:57  受付完了(参加団体-仙台市-健康福祉局障害福祉部障害企画課社会参加係 審査者　１)</t>
  </si>
  <si>
    <t>164_005_432_6512</t>
  </si>
  <si>
    <t>塩崎俊洋</t>
  </si>
  <si>
    <t>info@sendaihiraku.co.jp</t>
  </si>
  <si>
    <t>02_（別紙２）所要見込額調書_（就労移行支援）【就労・自立支援ひらく】 (1).xlsx(39KB)</t>
  </si>
  <si>
    <t>03_（別紙３）所要見込額内訳書_（就労移行支援）【就労・自立支援ひらく】.xlsx(15KB)</t>
  </si>
  <si>
    <t>PC.jpg(48KB)</t>
  </si>
  <si>
    <t>2021/12/21 11:38:46 申し込み_x000D_
2021/12/21 11:41:15 「（別紙２）所要見込額調書」をアップロードしてください。 添付ファイル 02_（別紙２）所要見込額調書_（就労移行支援）【就労・自立支援ひらく】 (1).xlsx 無害化_x000D_
2021/12/21 11:41:16 「（別紙３）所要見込額内訳書」をアップロードしてください。 添付ファイル 03_（別紙３）所要見込額内訳書_（就労移行支援）【就労・自立支援ひらく】.xlsx 無害化_x000D_
2021/12/21 11:41:17 パンフレット等、導入する機器の概要が分かる資料をアップロードしてください。 添付ファイル PC.jpg 無害化_x000D_
2021/12/21 17:29:01  受付完了(参加団体-仙台市-健康福祉局障害福祉部障害企画課社会参加係 審査者　１)</t>
  </si>
  <si>
    <t>164_005_901_4450</t>
  </si>
  <si>
    <t>特定非営利活動法人フルハウス</t>
  </si>
  <si>
    <t>飯嶋　茂</t>
  </si>
  <si>
    <t>muginokai@k5.dion.ne.jp</t>
  </si>
  <si>
    <t>02_（別紙２）所要見込額調書_（就労B）【コッペ】.xlsx(39KB)</t>
  </si>
  <si>
    <t>03_（別紙３）所要見込額内訳書_（就労B）【コッペ】.xlsx(15KB)</t>
  </si>
  <si>
    <t>ＩＣＴモデル事業見積もり.pdf(276KB)</t>
  </si>
  <si>
    <t>2021/12/21 12:56:54 申し込み_x000D_
2021/12/21 12:59:09 「（別紙２）所要見込額調書」をアップロードしてください。 添付ファイル 02_（別紙２）所要見込額調書_（就労B）【コッペ】.xlsx 無害化_x000D_
2021/12/21 12:59:10 「（別紙３）所要見込額内訳書」をアップロードしてください。 添付ファイル 03_（別紙３）所要見込額内訳書_（就労B）【コッペ】.xlsx 無害化_x000D_
2021/12/21 12:59:11 パンフレット等、導入する機器の概要が分かる資料をアップロードしてください。 添付ファイル ＩＣＴモデル事業見積もり.pdf 無害化_x000D_
2021/12/21 18:08:45  受付完了(参加団体-仙台市-健康福祉局障害福祉部障害企画課社会参加係 審査者　１)</t>
  </si>
  <si>
    <t>164_006_544_1978</t>
  </si>
  <si>
    <t>千葉　匠</t>
  </si>
  <si>
    <t>info@imukat.me</t>
  </si>
  <si>
    <t>takumichiba@imukat.me</t>
  </si>
  <si>
    <t>02_（別紙２）所要見込額調書_（提供サービス名）【事業所名】.xlsx(26KB)</t>
  </si>
  <si>
    <t>03_（別紙３）所要見込額内訳書_（提供サービス名）【事業所名】….xlsx(63KB)</t>
  </si>
  <si>
    <t>必要機材と導入ソフト.zip(7.77MB)</t>
  </si>
  <si>
    <t>2021/12/21 14:44:01 申し込み_x000D_
2021/12/21 14:45:15 「（別紙２）所要見込額調書」をアップロードしてください。 添付ファイル 02_（別紙２）所要見込額調書_（提供サービス名）【事業所名】.xlsx 無害化_x000D_
2021/12/21 14:45:16 「（別紙３）所要見込額内訳書」をアップロードしてください。 添付ファイル 03_（別紙３）所要見込額内訳書_（提供サービス名）【事業所名】….xlsx 無害化_x000D_
2021/12/21 14:45:17 パンフレット等、導入する機器の概要が分かる資料をアップロードしてください。 添付ファイル 必要機材と導入ソフト.zip 無害化_x000D_
2021/12/21 18:14:57  受付完了(参加団体-仙台市-健康福祉局障害福祉部障害企画課社会参加係 審査者　１)</t>
  </si>
  <si>
    <t>164_006_639_6021</t>
  </si>
  <si>
    <t>小野寺</t>
  </si>
  <si>
    <t>（別紙２）所要見込額調書_（提供サービス名）【オリーブの樹】.xlsx(39KB)</t>
  </si>
  <si>
    <t>（別紙３）所要見込額内訳書_（提供サービス名）【オリーブの樹】.xlsx(15KB)</t>
  </si>
  <si>
    <t>参考資料（パソコン、ソフト）.zip(3.48MB)</t>
  </si>
  <si>
    <t>2021/12/21 14:59:56 申し込み_x000D_
2021/12/21 15:01:16 「（別紙２）所要見込額調書」をアップロードしてください。 添付ファイル （別紙２）所要見込額調書_（提供サービス名）【オリーブの樹】.xlsx 無害化_x000D_
2021/12/21 15:01:17 「（別紙３）所要見込額内訳書」をアップロードしてください。 添付ファイル （別紙３）所要見込額内訳書_（提供サービス名）【オリーブの樹】.xlsx 無害化_x000D_
2021/12/21 15:01:18 パンフレット等、導入する機器の概要が分かる資料をアップロードしてください。 添付ファイル 参考資料（パソコン、ソフト）.zip 無害化_x000D_
2021/12/21 17:36:45  受付完了(参加団体-仙台市-健康福祉局障害福祉部障害企画課社会参加係 審査者　１)</t>
  </si>
  <si>
    <t>164_006_650_6822</t>
  </si>
  <si>
    <t>菊地</t>
  </si>
  <si>
    <t>（別紙２）所要見込額調書_（提供サービス名）【オリーブの実】.xlsx(39KB)</t>
  </si>
  <si>
    <t>（別紙３）所要見込額内訳書_（提供サービス名）【オリーブの実】.xlsx(16KB)</t>
  </si>
  <si>
    <t>2021/12/21 15:01:46 申し込み_x000D_
2021/12/21 15:03:04 「（別紙２）所要見込額調書」をアップロードしてください。 添付ファイル （別紙２）所要見込額調書_（提供サービス名）【オリーブの実】.xlsx 無害化_x000D_
2021/12/21 15:03:05 「（別紙３）所要見込額内訳書」をアップロードしてください。 添付ファイル （別紙３）所要見込額内訳書_（提供サービス名）【オリーブの実】.xlsx 無害化_x000D_
2021/12/21 15:03:06 パンフレット等、導入する機器の概要が分かる資料をアップロードしてください。 添付ファイル 参考資料（パソコン、ソフト）.zip 無害化_x000D_
2021/12/21 17:47:13  受付完了(参加団体-仙台市-健康福祉局障害福祉部障害企画課社会参加係 審査者　１)</t>
  </si>
  <si>
    <t>164_006_972_0383</t>
  </si>
  <si>
    <t>02_（別紙２）所要見込額調書_（就労継続支援B型）【希望の星】.xlsx(40KB)</t>
  </si>
  <si>
    <t>03_（別紙３）所要見込額内訳書_（就労継続支援B型）【希望の星】.xlsx(16KB)</t>
  </si>
  <si>
    <t>カタログ等.zip(1.01MB)</t>
  </si>
  <si>
    <t>2021/12/21 15:55:20 申し込み_x000D_
2021/12/21 15:57:15 「（別紙２）所要見込額調書」をアップロードしてください。 添付ファイル 02_（別紙２）所要見込額調書_（就労継続支援B型）【希望の星】.xlsx 無害化_x000D_
2021/12/21 15:57:16 「（別紙３）所要見込額内訳書」をアップロードしてください。 添付ファイル 03_（別紙３）所要見込額内訳書_（就労継続支援B型）【希望の星】.xlsx 無害化_x000D_
2021/12/21 15:57:17 パンフレット等、導入する機器の概要が分かる資料をアップロードしてください。 添付ファイル カタログ等.zip 無害化_x000D_
2021/12/21 18:19:53  受付完了(参加団体-仙台市-健康福祉局障害福祉部障害企画課社会参加係 審査者　１)</t>
  </si>
  <si>
    <t>164_007_034_3105</t>
  </si>
  <si>
    <t>菅井　明里</t>
  </si>
  <si>
    <t>qqcz5ard@diary.ocn.ne.jp</t>
  </si>
  <si>
    <t>minglijianjing@gmail.com</t>
  </si>
  <si>
    <t>コピー02_（別紙２）所要見込額調書_（提供サービス名）【事業所名】.xlsx(39KB)</t>
  </si>
  <si>
    <t>コピー03_（別紙３）所要見込額内訳書_（提供サービス名）【事業所名】.xlsx(15KB)</t>
  </si>
  <si>
    <t>MX-4151_20211221_153450.pdf(47KB)</t>
  </si>
  <si>
    <t>2021/12/21 16:05:43 申し込み_x000D_
2021/12/21 16:07:04 「（別紙２）所要見込額調書」をアップロードしてください。 添付ファイル コピー02_（別紙２）所要見込額調書_（提供サービス名）【事業所名】.xlsx 無害化_x000D_
2021/12/21 16:07:05 「（別紙３）所要見込額内訳書」をアップロードしてください。 添付ファイル コピー03_（別紙３）所要見込額内訳書_（提供サービス名）【事業所名】.xlsx 無害化_x000D_
2021/12/21 16:07:06 パンフレット等、導入する機器の概要が分かる資料をアップロードしてください。 添付ファイル MX-4151_20211221_153450.pdf 無害化_x000D_
2021/12/21 18:29:13  受付完了(参加団体-仙台市-健康福祉局障害福祉部障害企画課社会参加係 審査者　１)</t>
  </si>
  <si>
    <t>164_007_139_4893</t>
  </si>
  <si>
    <t>就労支援センターほっぷ</t>
  </si>
  <si>
    <t>平山昭江</t>
  </si>
  <si>
    <t>syurou@hop-miyagi.org</t>
  </si>
  <si>
    <t>hirayama@hop-miyagi.org</t>
  </si>
  <si>
    <t>03_（別紙３）所要見込額内訳書_（提供サービス名）【事業所名】 (2).xlsx(16KB)</t>
  </si>
  <si>
    <t>新しい圧縮された (ZIP) フォルダー.zip(877KB)</t>
  </si>
  <si>
    <t>2021/12/21 16:23:14 申し込み_x000D_
2021/12/21 16:25:15 「（別紙２）所要見込額調書」をアップロードしてください。 添付ファイル 02_（別紙２）所要見込額調書_（提供サービス名）【事業所名】 (2).xlsx 無害化_x000D_
2021/12/21 16:25:17 「（別紙３）所要見込額内訳書」をアップロードしてください。 添付ファイル 03_（別紙３）所要見込額内訳書_（提供サービス名）【事業所名】 (2).xlsx 無害化_x000D_
2021/12/21 16:25:19 パンフレット等、導入する機器の概要が分かる資料をアップロードしてください。 添付ファイル 新しい圧縮された (ZIP) フォルダー.zip 無害化_x000D_
2021/12/21 18:33:12  受付完了(参加団体-仙台市-健康福祉局障害福祉部障害企画課社会参加係 審査者　１)</t>
  </si>
  <si>
    <t>164_007_453_5797</t>
  </si>
  <si>
    <t>金沢和樹</t>
  </si>
  <si>
    <t>kazuki.kanazawa@mitsui-co.jp</t>
  </si>
  <si>
    <t>別紙２クル青葉.xlsx(40KB)</t>
  </si>
  <si>
    <t>別紙３クル青葉.xlsx(15KB)</t>
  </si>
  <si>
    <t>資料.zip(2KB)</t>
  </si>
  <si>
    <t>2021/12/21 17:15:35 申し込み_x000D_
2021/12/21 17:17:15 「（別紙２）所要見込額調書」をアップロードしてください。 添付ファイル 別紙２クル青葉.xlsx 無害化_x000D_
2021/12/21 17:17:16 「（別紙３）所要見込額内訳書」をアップロードしてください。 添付ファイル 別紙３クル青葉.xlsx 無害化_x000D_
2021/12/21 17:17:17 パンフレット等、導入する機器の概要が分かる資料をアップロードしてください。 添付ファイル 資料.zip 無害化_x000D_
2021/12/21 18:50:25  受付完了(参加団体-仙台市-健康福祉局障害福祉部障害企画課社会参加係 審査者　１)</t>
  </si>
  <si>
    <t>164_007_496_4822</t>
  </si>
  <si>
    <t>佐々木　有生</t>
  </si>
  <si>
    <t>himawari.family@cotton.ocn.ne.jp</t>
  </si>
  <si>
    <t>02_（別紙２）.xlsx(39KB)</t>
  </si>
  <si>
    <t>03_（別紙３）.xlsx(15KB)</t>
  </si>
  <si>
    <t>ファ・GH見積り.pdf(609KB)</t>
  </si>
  <si>
    <t>2021/12/21 17:22:44 申し込み_x000D_
2021/12/21 17:25:18 「（別紙２）所要見込額調書」をアップロードしてください。 添付ファイル 02_（別紙２）.xlsx 無害化_x000D_
2021/12/21 17:25:19 「（別紙３）所要見込額内訳書」をアップロードしてください。 添付ファイル 03_（別紙３）.xlsx 無害化_x000D_
2021/12/21 17:25:20 パンフレット等、導入する機器の概要が分かる資料をアップロードしてください。 添付ファイル ファ・GH見積り.pdf 無害化_x000D_
2021/12/21 18:37:23  受付完了(参加団体-仙台市-健康福祉局障害福祉部障害企画課社会参加係 審査者　１)</t>
  </si>
  <si>
    <t>164_007_504_0088</t>
  </si>
  <si>
    <t>別紙２クルあすと.xlsx(39KB)</t>
  </si>
  <si>
    <t>別紙３クルあすと.xlsx(15KB)</t>
  </si>
  <si>
    <t>2021/12/21 17:24:00 申し込み_x000D_
2021/12/21 17:25:21 「（別紙２）所要見込額調書」をアップロードしてください。 添付ファイル 別紙２クルあすと.xlsx 無害化_x000D_
2021/12/21 17:25:22 「（別紙３）所要見込額内訳書」をアップロードしてください。 添付ファイル 別紙３クルあすと.xlsx 無害化_x000D_
2021/12/21 17:25:23 パンフレット等、導入する機器の概要が分かる資料をアップロードしてください。 添付ファイル 資料.zip 無害化_x000D_
2021/12/21 18:50:25  受付完了(参加団体-仙台市-健康福祉局障害福祉部障害企画課社会参加係 審査者　１)</t>
  </si>
  <si>
    <t>164_007_512_7155</t>
  </si>
  <si>
    <t>別紙２クル長町南.xlsx(39KB)</t>
  </si>
  <si>
    <t>別紙３クル長町南.xlsx(15KB)</t>
  </si>
  <si>
    <t>2021/12/21 17:25:27 申し込み_x000D_
2021/12/21 17:27:04 「（別紙２）所要見込額調書」をアップロードしてください。 添付ファイル 別紙２クル長町南.xlsx 無害化_x000D_
2021/12/21 17:27:05 「（別紙３）所要見込額内訳書」をアップロードしてください。 添付ファイル 別紙３クル長町南.xlsx 無害化_x000D_
2021/12/21 17:27:06 パンフレット等、導入する機器の概要が分かる資料をアップロードしてください。 添付ファイル 資料.zip 無害化_x000D_
2021/12/21 18:50:25  受付完了(参加団体-仙台市-健康福祉局障害福祉部障害企画課社会参加係 審査者　１)</t>
  </si>
  <si>
    <t>164_021_873_7185</t>
  </si>
  <si>
    <t>2021/12/23 09:18:57</t>
  </si>
  <si>
    <t>令和3年12月23日</t>
  </si>
  <si>
    <t>社会福祉法人みずきの郷</t>
  </si>
  <si>
    <t>宇野　智美</t>
  </si>
  <si>
    <t>hikarien@topaz.ocn.ne.jp</t>
  </si>
  <si>
    <t>ぴぼっと南光台</t>
  </si>
  <si>
    <t>山口　まなみ</t>
  </si>
  <si>
    <t>jimu-step@tsudoinoie.or.jp</t>
  </si>
  <si>
    <t>02_（別紙２）所要見込額調書_（居宅等）【ぴぼっと南光台】.xlsx(40KB)</t>
  </si>
  <si>
    <t>03_（別紙３）所要見込額内訳書_（居宅等）【ぴぼっと南光台】.xlsx(15KB)</t>
  </si>
  <si>
    <t>AlkillerPlus_proposal.pdf(0KB)</t>
  </si>
  <si>
    <t>2021/12/20 17:51:42 申し込み_x000D_
2021/12/20 17:53:15 「（別紙２）所要見込額調書」をアップロードしてください。 添付ファイル 02_（別紙２）所要見込額調書_（居宅等）【ぴぼっと南光台】.xlsx 無害化_x000D_
2021/12/20 17:53:17 「（別紙３）所要見込額内訳書」をアップロードしてください。 添付ファイル 03_（別紙３）所要見込額内訳書_（居宅等）【ぴぼっと南光台】.xlsx 無害化_x000D_
2021/12/20 17:53:18 パンフレット等、導入する機器の概要が分かる資料をアップロードしてください。 添付ファイル AlkillerPlus_proposal.pdf 無害化_x000D_
2021/12/21 08:38:18  受付完了(参加団体-仙台市-健康福祉局障害福祉部障害者支援課地域生活支援係 審査者　２)</t>
  </si>
  <si>
    <t>163_981_889_2654</t>
  </si>
  <si>
    <t>2021/12/18 18:14:52</t>
  </si>
  <si>
    <t>令和3年12月18日</t>
  </si>
  <si>
    <t>金子雅彦</t>
  </si>
  <si>
    <t>m-kaneko@leifras.co.jp</t>
  </si>
  <si>
    <t>半沢　まり子</t>
  </si>
  <si>
    <t>jimu-wakabayashi@tsudoinoie.or.jp</t>
  </si>
  <si>
    <t>02_（別紙２）所要見込額調書_（提供サービス名）【ぴぼっと】.xlsx(40KB)</t>
  </si>
  <si>
    <t>03_（別紙３）所要見込額内訳書_（提供サービス名）【ぴぼっと】.xlsx(15KB)</t>
  </si>
  <si>
    <t>Blue Ocean Note製品案内.pdf(3.58MB)</t>
  </si>
  <si>
    <t>2021/12/20 18:06:05 申し込み_x000D_
2021/12/20 18:09:15 「（別紙２）所要見込額調書」をアップロードしてください。 添付ファイル 02_（別紙２）所要見込額調書_（提供サービス名）【ぴぼっと】.xlsx 無害化_x000D_
2021/12/20 18:09:16 「（別紙３）所要見込額内訳書」をアップロードしてください。 添付ファイル 03_（別紙３）所要見込額内訳書_（提供サービス名）【ぴぼっと】.xlsx 無害化_x000D_
2021/12/20 18:09:17 パンフレット等、導入する機器の概要が分かる資料をアップロードしてください。 添付ファイル Blue Ocean Note製品案内.pdf 無害化_x000D_
2021/12/21 08:38:18  受付完了(参加団体-仙台市-健康福祉局障害福祉部障害者支援課地域生活支援係 審査者　２)</t>
  </si>
  <si>
    <t>163_998_606_3899</t>
  </si>
  <si>
    <t>2021/12/20 16:41:03</t>
  </si>
  <si>
    <t>総務　早坂</t>
  </si>
  <si>
    <t>jimu-sendai@tsudoinoie.or.jp</t>
  </si>
  <si>
    <t>一般社団法人</t>
  </si>
  <si>
    <t>伊藤　崇</t>
  </si>
  <si>
    <t>takashi.ito.mirai@gmail.com</t>
  </si>
  <si>
    <t>02_（別紙２）所要見込額調書_（提供サービス名）【事業所名】.xlsx(39KB)</t>
  </si>
  <si>
    <t>カタログ.docx(303KB)</t>
  </si>
  <si>
    <t>2021/12/20 19:24:12 申し込み_x000D_
2021/12/20 19:27:04 「（別紙２）所要見込額調書」をアップロードしてください。 添付ファイル 02_（別紙２）所要見込額調書_（提供サービス名）【事業所名】.xlsx 無害化_x000D_
2021/12/20 19:27:05 「（別紙３）所要見込額内訳書」をアップロードしてください。 添付ファイル 03_（別紙３）所要見込額内訳書_（提供サービス名）【事業所名】.xlsx 無害化_x000D_
2021/12/20 19:27:06 パンフレット等、導入する機器の概要が分かる資料をアップロードしてください。 添付ファイル カタログ.docx 無害化_x000D_
2021/12/21 08:38:18  受付完了(参加団体-仙台市-健康福祉局障害福祉部障害者支援課地域生活支援係 審査者　２)</t>
  </si>
  <si>
    <t>163_999_060_9198</t>
  </si>
  <si>
    <t>2021/12/20 17:56:49</t>
  </si>
  <si>
    <t>磯野敏</t>
  </si>
  <si>
    <t>b-dash7022614@outlook.jp</t>
  </si>
  <si>
    <t>株式会社家和楽</t>
  </si>
  <si>
    <t>木村靖</t>
  </si>
  <si>
    <t>yawara.kingodo@otoku.gmobb.jp</t>
  </si>
  <si>
    <t>daizinbutu-kingodo@docomo.ne.jp</t>
  </si>
  <si>
    <t>02_（別紙２）所要見込額調書.xlsx(49KB)</t>
  </si>
  <si>
    <t>03_（別紙３）所要見込額内訳書.xlsx(17KB)</t>
  </si>
  <si>
    <t>見積もり.zip(873KB)</t>
  </si>
  <si>
    <t>2021/12/20 20:51:17 申し込み_x000D_
2021/12/20 20:53:16 「（別紙２）所要見込額調書」をアップロードしてください。 添付ファイル 02_（別紙２）所要見込額調書.xlsx 無害化_x000D_
2021/12/20 20:53:17 「（別紙３）所要見込額内訳書」をアップロードしてください。 添付ファイル 03_（別紙３）所要見込額内訳書.xlsx 無害化_x000D_
2021/12/20 20:53:18 パンフレット等、導入する機器の概要が分かる資料をアップロードしてください。 添付ファイル 見積もり.zip 無害化_x000D_
2021/12/21 08:38:17  受付完了(参加団体-仙台市-健康福祉局障害福祉部障害者支援課地域生活支援係 審査者　２)</t>
  </si>
  <si>
    <t>163_999_150_3023</t>
  </si>
  <si>
    <t>2021/12/20 18:11:43</t>
  </si>
  <si>
    <t>田中　英輔</t>
  </si>
  <si>
    <t>info@coconet.or.jp</t>
  </si>
  <si>
    <t>02_（別紙２）所要見込額調書_（計画相談支援）【仙台市自閉症相談センター】.xlsx(38KB)</t>
  </si>
  <si>
    <t>03_（別紙３）所要見込額内訳書_（計画相談支援）【仙台自閉症相談センター】.xlsx(15KB)</t>
  </si>
  <si>
    <t>sendaijiheishosoudancenter.pdf(112KB)</t>
  </si>
  <si>
    <t>2021/12/21 11:44:51 申し込み_x000D_
2021/12/21 11:47:07 「（別紙２）所要見込額調書」をアップロードしてください。 添付ファイル 02_（別紙２）所要見込額調書_（計画相談支援）【仙台市自閉症相談センター】.xlsx 無害化_x000D_
2021/12/21 11:47:08 「（別紙３）所要見込額内訳書」をアップロードしてください。 添付ファイル 03_（別紙３）所要見込額内訳書_（計画相談支援）【仙台自閉症相談センター】.xlsx 無害化_x000D_
2021/12/21 11:47:09 パンフレット等、導入する機器の概要が分かる資料をアップロードしてください。 添付ファイル sendaijiheishosoudancenter.pdf 無害化_x000D_
2021/12/21 16:50:54  受付完了(参加団体-仙台市-健康福祉局障害福祉部障害者支援課地域生活支援係 審査者　２)</t>
  </si>
  <si>
    <t>164_004_479_5099</t>
  </si>
  <si>
    <t>2021/12/21 08:59:55</t>
  </si>
  <si>
    <t>安倍　智子</t>
  </si>
  <si>
    <t>jimu-yagiyama@tsudoinoie.or.jp</t>
  </si>
  <si>
    <t>障害者相談支援相談支援センターゆあらいふ</t>
  </si>
  <si>
    <t>福地慎治</t>
  </si>
  <si>
    <t>igunal@bb.wakwak.com</t>
  </si>
  <si>
    <t>02_（別紙２）所要見込額調書_（計画相談支援）【障害者相談支援センターゆあらいふ】.xlsx(47KB)</t>
  </si>
  <si>
    <t>03_（別紙３）所要見込額内訳書_（計画相談支援）【障害者相談支援センターゆあらいふ】.xlsx(23KB)</t>
  </si>
  <si>
    <t>購入機器の概要（計画相談支援）【障害者相談支援センターゆあらいふ】.pdf(683KB)</t>
  </si>
  <si>
    <t>2021/12/21 11:45:53 申し込み_x000D_
2021/12/21 11:47:10 「（別紙２）所要見込額調書」をアップロードしてください。 添付ファイル 02_（別紙２）所要見込額調書_（計画相談支援）【障害者相談支援センターゆあらいふ】.xlsx 無害化_x000D_
2021/12/21 11:47:11 「（別紙３）所要見込額内訳書」をアップロードしてください。 添付ファイル 03_（別紙３）所要見込額内訳書_（計画相談支援）【障害者相談支援センターゆあらいふ】.xlsx 無害化_x000D_
2021/12/21 11:47:12 パンフレット等、導入する機器の概要が分かる資料をアップロードしてください。 添付ファイル 購入機器の概要（計画相談支援）【障害者相談支援センターゆあらいふ】.pdf 無害化_x000D_
2021/12/21 16:50:54  受付完了(参加団体-仙台市-健康福祉局障害福祉部障害者支援課地域生活支援係 審査者　２)</t>
  </si>
  <si>
    <t>164_004_571_5862</t>
  </si>
  <si>
    <t>2021/12/21 09:15:15</t>
  </si>
  <si>
    <t>加藤　卓也</t>
  </si>
  <si>
    <t>suzukake@crest.ocn.ne.jp</t>
  </si>
  <si>
    <t>長谷川優子</t>
  </si>
  <si>
    <t>jimu-hasekura@tsudoinoie.or.jp</t>
  </si>
  <si>
    <t>a-sato@tsudoinoie.or.jp</t>
  </si>
  <si>
    <t>（別紙２）所要見込額調書_（提供サービス名）【支倉】.xlsx(40KB)</t>
  </si>
  <si>
    <t>（別紙３）所要見込額内訳書_（提供サービス名）　　【支倉】　.xlsx(15KB)</t>
  </si>
  <si>
    <t>ノートパソコン、プロジェクターカタログ.pdf(2.05MB)</t>
  </si>
  <si>
    <t>2021/12/21 14:54:28 申し込み_x000D_
2021/12/21 14:57:15 「（別紙２）所要見込額調書」をアップロードしてください。 添付ファイル （別紙２）所要見込額調書_（提供サービス名）【支倉】.xlsx 無害化_x000D_
2021/12/21 14:57:16 「（別紙３）所要見込額内訳書」をアップロードしてください。 添付ファイル （別紙３）所要見込額内訳書_（提供サービス名）　　【支倉】　.xlsx 無害化_x000D_
2021/12/21 14:57:17 パンフレット等、導入する機器の概要が分かる資料をアップロードしてください。 添付ファイル ノートパソコン、プロジェクターカタログ.pdf 無害化_x000D_
2021/12/21 17:06:48  受付完了(参加団体-仙台市-健康福祉局障害福祉部障害者支援課地域生活支援係 審査者　２)</t>
  </si>
  <si>
    <t>164_004_627_5764</t>
  </si>
  <si>
    <t>2021/12/21 09:24:35</t>
  </si>
  <si>
    <t>高橋道代</t>
  </si>
  <si>
    <t>jimu-appli@tsudoinoie.or.jp</t>
  </si>
  <si>
    <t>日下　智也</t>
  </si>
  <si>
    <t>tomoya.kusaka@parcsystem.co.jp</t>
  </si>
  <si>
    <t>Book1.xlsx(205KB)</t>
  </si>
  <si>
    <t>2021/12/21 16:37:42 申し込み_x000D_
2021/12/21 16:39:08 「（別紙２）所要見込額調書」をアップロードしてください。 添付ファイル 02_（別紙２）所要見込額調書_（提供サービス名）【事業所名】.xlsx 無害化_x000D_
2021/12/21 16:39:09 「（別紙３）所要見込額内訳書」をアップロードしてください。 添付ファイル 03_（別紙３）所要見込額内訳書_（提供サービス名）【事業所名】.xlsx 無害化_x000D_
2021/12/21 16:39:10 パンフレット等、導入する機器の概要が分かる資料をアップロードしてください。 添付ファイル Book1.xlsx 無害化_x000D_
2021/12/21 17:06:28  受付完了(参加団体-仙台市-健康福祉局障害福祉部障害者支援課地域生活支援係 審査者　２)</t>
  </si>
  <si>
    <t>164_004_682_5887</t>
  </si>
  <si>
    <t>2021/12/21 09:33:45</t>
  </si>
  <si>
    <t>福岡　しおり</t>
  </si>
  <si>
    <t>himawari.life@cotton.ocn.ne.jp</t>
  </si>
  <si>
    <t>03_（別紙３）.xlsx(16KB)</t>
  </si>
  <si>
    <t>見積もり.pdf(91KB)</t>
  </si>
  <si>
    <t>2021/12/21 17:26:30 申し込み_x000D_
2021/12/21 17:29:14 「（別紙２）所要見込額調書」をアップロードしてください。 添付ファイル 02_（別紙２）.xlsx 無害化_x000D_
2021/12/21 17:29:15 「（別紙３）所要見込額内訳書」をアップロードしてください。 添付ファイル 03_（別紙３）.xlsx 無害化_x000D_
2021/12/21 17:29:16 パンフレット等、導入する機器の概要が分かる資料をアップロードしてください。 添付ファイル 見積もり.pdf 無害化_x000D_
2021/12/21 18:40:34  受付完了(参加団体-仙台市-健康福祉局障害福祉部障害者支援課地域生活支援係 審査者　２)</t>
  </si>
  <si>
    <t>164_004_844_1443</t>
  </si>
  <si>
    <t>2021/12/21 10:00:41</t>
  </si>
  <si>
    <t>02_（別紙２）所要見込額調書_（提供サービス名）【ひかり苑】R3.12.21.xlsx
(39KB)</t>
  </si>
  <si>
    <t>03_（別紙３）所要見込額内訳書_（提供サービス名）【ひかり苑】R3.12.21.xlsx
(16KB)</t>
  </si>
  <si>
    <t>見積書・機器概要.pdf
(806KB)</t>
  </si>
  <si>
    <t>2021/12/23 09:18:57 申し込み
2021/12/23 09:21:15 「（別紙２）所要見込額調書」をアップロードしてください。 添付ファイル 02_（別紙２）所要見込額調書_（提供サービス名）【ひかり苑】R3.12.21.xlsx 無害化
2021/12/23 09:21:16 「（別紙３）所要見込額内訳書」をアップロードしてください。 添付ファイル 03_（別紙３）所要見込額内訳書_（提供サービス名）【ひかり苑】R3.12.21.xlsx 無害化
2021/12/23 09:21:17 パンフレット等、導入する機器の概要が分かる資料をアップロードしてください。 添付ファイル 見積書・機器概要.pdf 無害化
2021/12/23 19:04:23  受付完了(参加団体-仙台市-健康福祉局障害福祉部障害者支援課施設支援係 審査者　１)</t>
  </si>
  <si>
    <t>164_004_858_9244</t>
  </si>
  <si>
    <t>2021/12/21 10:03:09</t>
  </si>
  <si>
    <t>02_（別紙２）所要見込額調書_（放課後等デイサービス）【LEIF東仙台】.xlsx
(44KB)</t>
  </si>
  <si>
    <t>03_（別紙３）所要見込額内訳書_（放課後等デイサービス）【LEIF東仙台】.xlsx
(21KB)</t>
  </si>
  <si>
    <t>機器詳細.zip
(1.48MB)</t>
  </si>
  <si>
    <t>2021/12/18 18:14:52 申し込み
2021/12/18 18:17:15 「（別紙２）所要見込額調書」をアップロードしてください。 添付ファイル 02_（別紙２）所要見込額調書_（放課後等デイサービス）【LEIF東仙台】.xlsx 無害化
2021/12/18 18:17:16 「（別紙３）所要見込額内訳書」をアップロードしてください。 添付ファイル 03_（別紙３）所要見込額内訳書_（放課後等デイサービス）【LEIF東仙台】.xlsx 無害化
2021/12/18 18:17:17 パンフレット等、導入する機器の概要が分かる資料をアップロードしてください。 添付ファイル 機器詳細.zip 無害化
2021/12/20 14:24:32  受付完了(参加団体-仙台市-健康福祉局障害福祉部障害者支援課施設支援係 審査者　１)</t>
  </si>
  <si>
    <t>164_005_379_9994</t>
  </si>
  <si>
    <t>2021/12/21 11:29:59</t>
  </si>
  <si>
    <t>02_（別紙２）所要見込額調書_（提供サービス名）【仙台つどいの家】.xlsx
(39KB)</t>
  </si>
  <si>
    <t>03_（別紙３）所要見込額内訳書_（提供サービス名）【仙台つどいの家】.xlsx
(15KB)</t>
  </si>
  <si>
    <t>dynaCloud Sync資料.pptx
(7.29MB)</t>
  </si>
  <si>
    <t>2021/12/20 16:41:03 申し込み
2021/12/20 16:43:04 「（別紙２）所要見込額調書」をアップロードしてください。 添付ファイル 02_（別紙２）所要見込額調書_（提供サービス名）【仙台つどいの家】.xlsx 無害化
2021/12/20 16:43:05 「（別紙３）所要見込額内訳書」をアップロードしてください。 添付ファイル 03_（別紙３）所要見込額内訳書_（提供サービス名）【仙台つどいの家】.xlsx 無害化
2021/12/20 16:43:07 パンフレット等、導入する機器の概要が分かる資料をアップロードしてください。 添付ファイル dynaCloud Sync資料.pptx 無害化
2021/12/20 19:56:47  受付完了(参加団体-仙台市-健康福祉局障害福祉部障害者支援課施設支援係 審査者　１)</t>
  </si>
  <si>
    <t>164_005_453_2814</t>
  </si>
  <si>
    <t>2021/12/21 11:42:12</t>
  </si>
  <si>
    <t>共同生活援助（介護サービス包括型）</t>
  </si>
  <si>
    <t>（別紙２）所要見込額調書.xlsx
(26KB)</t>
  </si>
  <si>
    <t>（別紙３）所要見込額内訳書.xlsx
(15KB)</t>
  </si>
  <si>
    <t>カタログ.zip
(223KB)</t>
  </si>
  <si>
    <t>2021/12/20 17:56:49 申し込み
2021/12/20 17:59:06 「（別紙２）所要見込額調書」をアップロードしてください。 添付ファイル （別紙２）所要見込額調書.xlsx 無害化
2021/12/20 17:59:07 「（別紙３）所要見込額内訳書」をアップロードしてください。 添付ファイル （別紙３）所要見込額内訳書.xlsx 無害化
2021/12/20 17:59:08 パンフレット等、導入する機器の概要が分かる資料をアップロードしてください。 添付ファイル カタログ.zip 無害化
2021/12/20 19:58:38  受付完了(参加団体-仙台市-健康福祉局障害福祉部障害者支援課施設支援係 審査者　１)</t>
  </si>
  <si>
    <t>164_005_453_4032</t>
  </si>
  <si>
    <t>2021/12/21 11:42:14</t>
  </si>
  <si>
    <t>石橋　文彦</t>
  </si>
  <si>
    <t>02_（別紙２）所要見込額調書_（提供サービス名）【ひこうき雲】.xlsx
(40KB)</t>
  </si>
  <si>
    <t>03_（別紙３）所要見込額内訳書_（提供サービス名）【ひこうき雲】.xlsx
(15KB)</t>
  </si>
  <si>
    <t>Blue Ocean Note製品案内.pdf
(3.58MB)</t>
  </si>
  <si>
    <t>2021/12/20 18:11:43 申し込み
2021/12/20 18:13:15 「（別紙２）所要見込額調書」をアップロードしてください。 添付ファイル 02_（別紙２）所要見込額調書_（提供サービス名）【ひこうき雲】.xlsx 無害化
2021/12/20 18:13:16 「（別紙３）所要見込額内訳書」をアップロードしてください。 添付ファイル 03_（別紙３）所要見込額内訳書_（提供サービス名）【ひこうき雲】.xlsx 無害化
2021/12/20 18:13:17 パンフレット等、導入する機器の概要が分かる資料をアップロードしてください。 添付ファイル Blue Ocean Note製品案内.pdf 無害化
2021/12/20 19:58:37  受付完了(参加団体-仙台市-健康福祉局障害福祉部障害者支援課施設支援係 審査者　１)</t>
  </si>
  <si>
    <t>164_006_193_0551</t>
  </si>
  <si>
    <t>2021/12/21 13:45:30</t>
  </si>
  <si>
    <t>石垣貴信</t>
  </si>
  <si>
    <t>takanobu_ishigaki@yokofuku.or.jp</t>
  </si>
  <si>
    <t>(別紙２）所要見込額調書_（提供サービス名）【八木山】.xlsx
(39KB)</t>
  </si>
  <si>
    <t>（別紙３）所要見込額内訳書_（提供サービス名）【八木山】.xlsx
(15KB)</t>
  </si>
  <si>
    <t>資料.zip
(0KB)</t>
  </si>
  <si>
    <t>2021/12/21 08:59:55 申し込み
2021/12/21 09:01:15 「（別紙２）所要見込額調書」をアップロードしてください。 添付ファイル (別紙２）所要見込額調書_（提供サービス名）【八木山】.xlsx 無害化
2021/12/21 09:01:16 「（別紙３）所要見込額内訳書」をアップロードしてください。 添付ファイル （別紙３）所要見込額内訳書_（提供サービス名）【八木山】.xlsx 無害化
2021/12/21 09:01:17 パンフレット等、導入する機器の概要が分かる資料をアップロードしてください。 添付ファイル 資料.zip 無害化
2021/12/21 14:28:10  受付完了(参加団体-仙台市-健康福祉局障害福祉部障害者支援課施設支援係 審査者　１)</t>
  </si>
  <si>
    <t>164_006_551_0391</t>
  </si>
  <si>
    <t>2021/12/21 14:45:10</t>
  </si>
  <si>
    <t>安澤佐知子 (あんざわ)</t>
  </si>
  <si>
    <t>contact@piainc.org</t>
  </si>
  <si>
    <t>（別紙２）所要見込額調書 (1).xlsx
(29KB)</t>
  </si>
  <si>
    <t>（別紙３）所要見込額内訳書 (1).xlsx
(16KB)</t>
  </si>
  <si>
    <t>パンフ　見積書.pdf
(381KB)</t>
  </si>
  <si>
    <t>2021/12/21 09:15:15 申し込み
2021/12/21 09:17:15 「（別紙２）所要見込額調書」をアップロードしてください。 添付ファイル （別紙２）所要見込額調書 (1).xlsx 無害化
2021/12/21 09:17:16 「（別紙３）所要見込額内訳書」をアップロードしてください。 添付ファイル （別紙３）所要見込額内訳書 (1).xlsx 無害化
2021/12/21 09:17:17 パンフレット等、導入する機器の概要が分かる資料をアップロードしてください。 添付ファイル パンフ　見積書.pdf 無害化
2021/12/21 15:08:29  受付完了(参加団体-仙台市-健康福祉局障害福祉部障害者支援課施設支援係 審査者　１)</t>
  </si>
  <si>
    <t>リッキーアカデミーあすと長町</t>
  </si>
  <si>
    <t>金沢　和樹</t>
  </si>
  <si>
    <t>（別紙２）所要見込額調書_（アプリ）.xlsx
(39KB)</t>
  </si>
  <si>
    <t>（別紙３）所要見込額内訳書_（アプリ）.xlsx
(15KB)</t>
  </si>
  <si>
    <t>AlkillerPlus_proposal.pdf
(0KB)</t>
  </si>
  <si>
    <t>2021/12/21 09:24:35 申し込み
2021/12/21 09:27:05 「（別紙２）所要見込額調書」をアップロードしてください。 添付ファイル （別紙２）所要見込額調書_（アプリ）.xlsx 無害化
2021/12/21 09:27:06 「（別紙３）所要見込額内訳書」をアップロードしてください。 添付ファイル （別紙３）所要見込額内訳書_（アプリ）.xlsx 無害化
2021/12/21 09:27:08 パンフレット等、導入する機器の概要が分かる資料をアップロードしてください。 添付ファイル AlkillerPlus_proposal.pdf 無害化
2021/12/21 15:08:29  受付完了(参加団体-仙台市-健康福祉局障害福祉部障害者支援課施設支援係 審査者　１)</t>
  </si>
  <si>
    <t>リッキーアカデミージュニア西中田</t>
  </si>
  <si>
    <t>02_（別紙２）所要見込額調書_（放課後等デイサービス）【あゆみ】.xlsx
(39KB)</t>
  </si>
  <si>
    <t>03_（別紙３）所要見込額内訳書_（放課後等デイサービス）【あゆみ】.xlsx
(15KB)</t>
  </si>
  <si>
    <t>ayumi.pdf
(114KB)</t>
  </si>
  <si>
    <t>2021/12/21 09:33:45 申し込み
2021/12/21 09:35:04 「（別紙２）所要見込額調書」をアップロードしてください。 添付ファイル 02_（別紙２）所要見込額調書_（放課後等デイサービス）【あゆみ】.xlsx 無害化
2021/12/21 09:35:05 「（別紙３）所要見込額内訳書」をアップロードしてください。 添付ファイル 03_（別紙３）所要見込額内訳書_（放課後等デイサービス）【あゆみ】.xlsx 無害化
2021/12/21 09:35:06 パンフレット等、導入する機器の概要が分かる資料をアップロードしてください。 添付ファイル ayumi.pdf 無害化
2021/12/21 15:08:29  受付完了(参加団体-仙台市-健康福祉局障害福祉部障害者支援課施設支援係 審査者　１)</t>
  </si>
  <si>
    <t>リッキーアカデミー仙台青葉通</t>
  </si>
  <si>
    <t>02_（別紙２）所要見込額調書_（放課後等デイサービス）【みのり】.xlsx
(39KB)</t>
  </si>
  <si>
    <t>03_（別紙３）所要見込額内訳書_（放課後等デイサービス）【みのり】.xlsx
(15KB)</t>
  </si>
  <si>
    <t>minori.pdf
(114KB)</t>
  </si>
  <si>
    <t>2021/12/21 10:00:41 申し込み
2021/12/21 10:03:06 「（別紙２）所要見込額調書」をアップロードしてください。 添付ファイル 02_（別紙２）所要見込額調書_（放課後等デイサービス）【みのり】.xlsx 無害化
2021/12/21 10:03:07 「（別紙３）所要見込額内訳書」をアップロードしてください。 添付ファイル 03_（別紙３）所要見込額内訳書_（放課後等デイサービス）【みのり】.xlsx 無害化
2021/12/21 10:03:08 パンフレット等、導入する機器の概要が分かる資料をアップロードしてください。 添付ファイル minori.pdf 無害化
2021/12/21 15:08:28  受付完了(参加団体-仙台市-健康福祉局障害福祉部障害者支援課施設支援係 審査者　１)</t>
  </si>
  <si>
    <t>リッキーガーデンあすと長町</t>
  </si>
  <si>
    <t>02_（別紙２）所要見込額調書_（放課後等デイサービス）【めぐみ】.xlsx
(39KB)</t>
  </si>
  <si>
    <t>03_（別紙３）所要見込額内訳書_（放課後等デイサービス）【めぐみ】.xlsx
(15KB)</t>
  </si>
  <si>
    <t>megumi.pdf
(114KB)</t>
  </si>
  <si>
    <t>2021/12/21 10:03:09 申し込み
2021/12/21 10:05:15 「（別紙２）所要見込額調書」をアップロードしてください。 添付ファイル 02_（別紙２）所要見込額調書_（放課後等デイサービス）【めぐみ】.xlsx 無害化
2021/12/21 10:05:16 「（別紙３）所要見込額内訳書」をアップロードしてください。 添付ファイル 03_（別紙３）所要見込額内訳書_（放課後等デイサービス）【めぐみ】.xlsx 無害化
2021/12/21 10:05:17 パンフレット等、導入する機器の概要が分かる資料をアップロードしてください。 添付ファイル megumi.pdf 無害化
2021/12/21 15:08:28  受付完了(参加団体-仙台市-健康福祉局障害福祉部障害者支援課施設支援係 審査者　１)</t>
  </si>
  <si>
    <t>リッキー西多賀</t>
  </si>
  <si>
    <t xml:space="preserve">自立訓練 (生活訓練) </t>
  </si>
  <si>
    <t>02_（別紙２）所要見込額調書_（自立訓練）【ここねっとステップ】.xlsx
(39KB)</t>
  </si>
  <si>
    <t>03_（別紙３）所要見込額内訳書_（自立訓練）【ここねっとステップ】.xlsx
(15KB)</t>
  </si>
  <si>
    <t>coconetstep.pdf
(114KB)</t>
  </si>
  <si>
    <t>2021/12/21 11:29:59 申し込み
2021/12/21 11:31:04 「（別紙２）所要見込額調書」をアップロードしてください。 添付ファイル 02_（別紙２）所要見込額調書_（自立訓練）【ここねっとステップ】.xlsx 無害化
2021/12/21 11:31:05 「（別紙３）所要見込額内訳書」をアップロードしてください。 添付ファイル 03_（別紙３）所要見込額内訳書_（自立訓練）【ここねっとステップ】.xlsx 無害化
2021/12/21 11:31:06 パンフレット等、導入する機器の概要が分かる資料をアップロードしてください。 添付ファイル coconetstep.pdf 無害化
2021/12/21 15:08:28  受付完了(参加団体-仙台市-健康福祉局障害福祉部障害者支援課施設支援係 審査者　１)</t>
  </si>
  <si>
    <t>リッキー南仙台</t>
  </si>
  <si>
    <t>02_（別紙２）所要見込額調書_（共同生活援助）【ここねっとホーム】.xlsx
(38KB)</t>
  </si>
  <si>
    <t>03_（別紙３）所要見込額内訳書_（共同生活援助）【ここねっとホーム】.xlsx
(14KB)</t>
  </si>
  <si>
    <t>coconethome.pdf
(112KB)</t>
  </si>
  <si>
    <t>2021/12/21 11:42:12 申し込み
2021/12/21 11:45:18 「（別紙２）所要見込額調書」をアップロードしてください。 添付ファイル 02_（別紙２）所要見込額調書_（共同生活援助）【ここねっとホーム】.xlsx 無害化
2021/12/21 11:45:19 「（別紙３）所要見込額内訳書」をアップロードしてください。 添付ファイル 03_（別紙３）所要見込額内訳書_（共同生活援助）【ここねっとホーム】.xlsx 無害化
2021/12/21 11:45:20 パンフレット等、導入する機器の概要が分かる資料をアップロードしてください。 添付ファイル coconethome.pdf 無害化
2021/12/21 15:08:28  受付完了(参加団体-仙台市-健康福祉局障害福祉部障害者支援課施設支援係 審査者　１)</t>
  </si>
  <si>
    <t>リッキー柳生</t>
  </si>
  <si>
    <t>（別紙２）所要見込額調書_（提供サービス名）【ハーモニー】.xlsx
(40KB)</t>
  </si>
  <si>
    <t>（別紙３）所要見込額内訳書_（提供サービス名）【ハーモニー】.xlsx
(16KB)</t>
  </si>
  <si>
    <t>富士通ノートパソコン iPad Pro.pdf
(956KB)</t>
  </si>
  <si>
    <t>2021/12/21 11:42:14 申し込み
2021/12/21 11:45:21 「（別紙２）所要見込額調書」をアップロードしてください。 添付ファイル （別紙２）所要見込額調書_（提供サービス名）【ハーモニー】.xlsx 無害化
2021/12/21 11:45:22 「（別紙３）所要見込額内訳書」をアップロードしてください。 添付ファイル （別紙３）所要見込額内訳書_（提供サービス名）【ハーモニー】.xlsx 無害化
2021/12/21 11:45:23 パンフレット等、導入する機器の概要が分かる資料をアップロードしてください。 添付ファイル 富士通ノートパソコン iPad Pro.pdf 無害化
2021/12/21 15:08:28  受付完了(参加団体-仙台市-健康福祉局障害福祉部障害者支援課施設支援係 審査者　１)</t>
  </si>
  <si>
    <t>リッキーアカデミー長町南</t>
  </si>
  <si>
    <t>02_（別紙２）所要見込額調書_（療養介護）【仙台エコー医療療育センター】.xlsx
(39KB)</t>
  </si>
  <si>
    <t>03_（別紙３）所要見込額内訳書_（療養介護）【仙台エコー医療療育センター】.xlsx
(15KB)</t>
  </si>
  <si>
    <t>添付書類【MMWIN】.pdf
(5.13MB)</t>
  </si>
  <si>
    <t>2021/12/21 13:45:30 申し込み
2021/12/21 13:47:04 「（別紙２）所要見込額調書」をアップロードしてください。 添付ファイル 02_（別紙２）所要見込額調書_（療養介護）【仙台エコー医療療育センター】.xlsx 無害化
2021/12/21 13:47:05 「（別紙３）所要見込額内訳書」をアップロードしてください。 添付ファイル 03_（別紙３）所要見込額内訳書_（療養介護）【仙台エコー医療療育センター】.xlsx 無害化
2021/12/21 13:47:07 パンフレット等、導入する機器の概要が分かる資料をアップロードしてください。 添付ファイル 添付書類【MMWIN】.pdf 無害化
2021/12/21 15:08:28  受付完了(参加団体-仙台市-健康福祉局障害福祉部障害者支援課施設支援係 審査者　１)</t>
  </si>
  <si>
    <t>164_007_460_2859</t>
  </si>
  <si>
    <t>2021/12/21 17:16:42</t>
  </si>
  <si>
    <t>渡辺　梓</t>
  </si>
  <si>
    <t>02_（別紙２）所要見込額調書_（生活介護）【ぴあにか】.xlsx
(39KB)</t>
  </si>
  <si>
    <t>03_（別紙３）所要見込額内訳書_（生活介護）【ぴあにか】.xlsx
(15KB)</t>
  </si>
  <si>
    <t>導入機器資料.docx
(215KB)</t>
  </si>
  <si>
    <t>2021/12/21 14:45:10 申し込み
2021/12/21 14:47:07 「（別紙２）所要見込額調書」をアップロードしてください。 添付ファイル 02_（別紙２）所要見込額調書_（生活介護）【ぴあにか】.xlsx 無害化
2021/12/21 14:47:08 「（別紙３）所要見込額内訳書」をアップロードしてください。 添付ファイル 03_（別紙３）所要見込額内訳書_（生活介護）【ぴあにか】.xlsx 無害化
2021/12/21 14:47:09 パンフレット等、導入する機器の概要が分かる資料をアップロードしてください。 添付ファイル 導入機器資料.docx 無害化
2021/12/21 15:11:40  受付完了(参加団体-仙台市-健康福祉局障害福祉部障害者支援課施設支援係 審査者　１)</t>
  </si>
  <si>
    <t>163_999_030_2305</t>
  </si>
  <si>
    <t>163_999_116_5703</t>
  </si>
  <si>
    <t>163_999_585_2392</t>
  </si>
  <si>
    <t>164_000_107_7712</t>
  </si>
  <si>
    <t>164_005_469_1332</t>
  </si>
  <si>
    <t>164_005_475_3297</t>
  </si>
  <si>
    <t>164_006_606_8305</t>
  </si>
  <si>
    <t>164_007_226_2841</t>
  </si>
  <si>
    <t>164_007_519_0201</t>
  </si>
  <si>
    <t>02_（別紙２）.xlsx
(39KB)</t>
  </si>
  <si>
    <t>03_（別紙３.xlsx
(15KB)</t>
  </si>
  <si>
    <t>ファ・GH見積り.pdf
(609KB)</t>
  </si>
  <si>
    <t>2021/12/21 17:16:42 申し込み
2021/12/21 17:19:05 「（別紙２）所要見込額調書」をアップロードしてください。 添付ファイル 02_（別紙２）.xlsx 無害化
2021/12/21 17:19:06 「（別紙３）所要見込額内訳書」をアップロードしてください。 添付ファイル 03_（別紙３.xlsx 無害化
2021/12/21 17:19:07 パンフレット等、導入する機器の概要が分かる資料をアップロードしてください。 添付ファイル ファ・GH見積り.pdf 無害化
2021/12/21 20:32:34 備考欄の保存
2021/12/22 17:44:49  受付完了(参加団体-仙台市-健康福祉局障害福祉部障害者支援課施設支援係 審査者　１)</t>
  </si>
  <si>
    <t>総務　阿部　幸生</t>
  </si>
  <si>
    <t>jimu-koper@tsudoinoie.or.jp</t>
  </si>
  <si>
    <t>（別紙２）所要見込額調書_（提供サービス名）【つどいの家・コペル】.xlsx_x000D_
(40KB)</t>
  </si>
  <si>
    <t>（別紙３）所要見込額内訳書_（提供サービス名）【つどいの家・コペル】.xlsx_x000D_
(15KB)</t>
  </si>
  <si>
    <t>パンフ.zip_x000D_
(3.11MB)</t>
  </si>
  <si>
    <t>2021/12/24 11:09:45 申し込み_x000D_
2021/12/24 11:11:06 「（別紙２）所要見込額調書」をアップロードしてください。 添付ファイル （別紙２）所要見込額調書_（提供サービス名）【つどいの家・コペル】.xlsx 無害化_x000D_
2021/12/24 11:11:08 「（別紙３）所要見込額内訳書」をアップロードしてください。 添付ファイル （別紙３）所要見込額内訳書_（提供サービス名）【つどいの家・コペル】.xlsx 無害化_x000D_
2021/12/24 11:11:09 パンフレット等、導入する機器の概要が分かる資料をアップロードしてください。 添付ファイル パンフ.zip 無害化_x000D_
2021/12/24 15:09:29  受付完了(参加団体-仙台市-健康福祉局障害福祉部障害者支援課施設支援係 審査者　１)</t>
  </si>
  <si>
    <t>代表者名</t>
    <rPh sb="0" eb="3">
      <t>ダイヒョウシャ</t>
    </rPh>
    <rPh sb="3" eb="4">
      <t>メイ</t>
    </rPh>
    <phoneticPr fontId="1"/>
  </si>
  <si>
    <t>アドレス</t>
    <phoneticPr fontId="1"/>
  </si>
  <si>
    <t>リッキー西多賀</t>
    <phoneticPr fontId="1"/>
  </si>
  <si>
    <t>リッキー南仙台</t>
    <phoneticPr fontId="1"/>
  </si>
  <si>
    <t>リッキー柳生</t>
    <phoneticPr fontId="1"/>
  </si>
  <si>
    <t>就労支援センターほっぷ</t>
    <phoneticPr fontId="1"/>
  </si>
  <si>
    <t>Rickeyアカデミー 長町南</t>
    <phoneticPr fontId="1"/>
  </si>
  <si>
    <t>代表取締役社長　金沢　和樹</t>
    <rPh sb="0" eb="2">
      <t>ダイヒョウ</t>
    </rPh>
    <rPh sb="2" eb="5">
      <t>トリシマリヤク</t>
    </rPh>
    <rPh sb="5" eb="7">
      <t>シャチョウ</t>
    </rPh>
    <rPh sb="8" eb="10">
      <t>カナザワ</t>
    </rPh>
    <rPh sb="11" eb="13">
      <t>カズキ</t>
    </rPh>
    <phoneticPr fontId="1"/>
  </si>
  <si>
    <t>理事長　早坂　忠美</t>
    <rPh sb="0" eb="3">
      <t>リジチョウ</t>
    </rPh>
    <phoneticPr fontId="1"/>
  </si>
  <si>
    <t>理事長　米倉　尚美</t>
    <rPh sb="0" eb="3">
      <t>リジチョウ</t>
    </rPh>
    <phoneticPr fontId="1"/>
  </si>
  <si>
    <t>理事長　佐藤　清</t>
    <rPh sb="0" eb="3">
      <t>リジチョウ</t>
    </rPh>
    <phoneticPr fontId="1"/>
  </si>
  <si>
    <t>理事長　涌澤　圭介</t>
    <rPh sb="0" eb="3">
      <t>リジチョウ</t>
    </rPh>
    <phoneticPr fontId="1"/>
  </si>
  <si>
    <t>理事長　白木　福次郎</t>
  </si>
  <si>
    <t>理事長　白木　福次郎</t>
    <phoneticPr fontId="1"/>
  </si>
  <si>
    <t>理事長　菊地　茂</t>
    <rPh sb="0" eb="3">
      <t>リジチョウ</t>
    </rPh>
    <rPh sb="4" eb="6">
      <t>キクチ</t>
    </rPh>
    <rPh sb="7" eb="8">
      <t>シゲル</t>
    </rPh>
    <phoneticPr fontId="1"/>
  </si>
  <si>
    <t>理事長　安澤　佐知子</t>
    <rPh sb="0" eb="3">
      <t>リジチョウ</t>
    </rPh>
    <phoneticPr fontId="1"/>
  </si>
  <si>
    <t>代表理事　鷲見　俊雄</t>
    <rPh sb="0" eb="2">
      <t>ダイヒョウ</t>
    </rPh>
    <rPh sb="2" eb="4">
      <t>リジ</t>
    </rPh>
    <phoneticPr fontId="1"/>
  </si>
  <si>
    <t>代表理事　飯嶋　茂</t>
    <rPh sb="0" eb="2">
      <t>ダイヒョウ</t>
    </rPh>
    <rPh sb="2" eb="4">
      <t>リジ</t>
    </rPh>
    <rPh sb="5" eb="7">
      <t>イイジマ</t>
    </rPh>
    <phoneticPr fontId="1"/>
  </si>
  <si>
    <t>理事長　千葉　厚子</t>
    <rPh sb="0" eb="3">
      <t>リジチョウ</t>
    </rPh>
    <phoneticPr fontId="1"/>
  </si>
  <si>
    <t>理事長　千葉　雄成</t>
    <rPh sb="0" eb="3">
      <t>リジチョウ</t>
    </rPh>
    <phoneticPr fontId="1"/>
  </si>
  <si>
    <t>代表取締役社長　伊藤　清隆</t>
    <rPh sb="0" eb="2">
      <t>ダイヒョウ</t>
    </rPh>
    <rPh sb="2" eb="5">
      <t>トリシマリヤク</t>
    </rPh>
    <rPh sb="5" eb="7">
      <t>シャチョウ</t>
    </rPh>
    <rPh sb="8" eb="10">
      <t>イトウ</t>
    </rPh>
    <rPh sb="11" eb="13">
      <t>キヨタカ</t>
    </rPh>
    <phoneticPr fontId="1"/>
  </si>
  <si>
    <t>代表理事　伊藤　奈未</t>
    <rPh sb="0" eb="2">
      <t>ダイヒョウ</t>
    </rPh>
    <rPh sb="2" eb="4">
      <t>リジ</t>
    </rPh>
    <phoneticPr fontId="1"/>
  </si>
  <si>
    <t>代表理事　福地　慎治</t>
    <rPh sb="0" eb="2">
      <t>ダイヒョウ</t>
    </rPh>
    <rPh sb="2" eb="4">
      <t>リジ</t>
    </rPh>
    <rPh sb="5" eb="7">
      <t>フクチ</t>
    </rPh>
    <rPh sb="8" eb="10">
      <t>シンジ</t>
    </rPh>
    <phoneticPr fontId="1"/>
  </si>
  <si>
    <t>株式会社家和楽</t>
    <phoneticPr fontId="1"/>
  </si>
  <si>
    <t>一般社団法人未来</t>
    <phoneticPr fontId="1"/>
  </si>
  <si>
    <t>代表取締役　木村　靖</t>
    <rPh sb="0" eb="2">
      <t>ダイヒョウ</t>
    </rPh>
    <rPh sb="2" eb="5">
      <t>トリシマリヤク</t>
    </rPh>
    <phoneticPr fontId="1"/>
  </si>
  <si>
    <t>代表取締役　塩崎　俊洋</t>
    <rPh sb="0" eb="2">
      <t>ダイヒョウ</t>
    </rPh>
    <rPh sb="2" eb="4">
      <t>トリシマリ</t>
    </rPh>
    <rPh sb="6" eb="8">
      <t>シオザキ</t>
    </rPh>
    <phoneticPr fontId="1"/>
  </si>
  <si>
    <t>代表社員　磯野　敏</t>
    <rPh sb="0" eb="2">
      <t>ダイヒョウ</t>
    </rPh>
    <rPh sb="2" eb="4">
      <t>シャイン</t>
    </rPh>
    <phoneticPr fontId="1"/>
  </si>
  <si>
    <t>代表取締役　坂上　力</t>
    <rPh sb="6" eb="8">
      <t>サカガミ</t>
    </rPh>
    <rPh sb="9" eb="10">
      <t>リキ</t>
    </rPh>
    <phoneticPr fontId="1"/>
  </si>
  <si>
    <t>リッキーガーデン　長町南</t>
    <rPh sb="11" eb="12">
      <t>ミナミ</t>
    </rPh>
    <phoneticPr fontId="1"/>
  </si>
  <si>
    <t>令和４年度仙台市障害福祉分野のICT導入モデル事業補助金の内示について</t>
    <rPh sb="0" eb="2">
      <t>レイワ</t>
    </rPh>
    <rPh sb="3" eb="5">
      <t>ネンド</t>
    </rPh>
    <rPh sb="5" eb="8">
      <t>センダイシ</t>
    </rPh>
    <rPh sb="8" eb="14">
      <t>ショウガイフクシブンヤ</t>
    </rPh>
    <rPh sb="18" eb="20">
      <t>ドウニュウ</t>
    </rPh>
    <rPh sb="23" eb="25">
      <t>ジギョウ</t>
    </rPh>
    <rPh sb="25" eb="28">
      <t>ホジョキン</t>
    </rPh>
    <rPh sb="29" eb="31">
      <t>ナイジ</t>
    </rPh>
    <phoneticPr fontId="5"/>
  </si>
  <si>
    <t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t>
    <rPh sb="1" eb="3">
      <t>ヘイソ</t>
    </rPh>
    <rPh sb="6" eb="8">
      <t>ホンシ</t>
    </rPh>
    <rPh sb="7" eb="8">
      <t>ニホン</t>
    </rPh>
    <rPh sb="8" eb="10">
      <t>ショウガイ</t>
    </rPh>
    <rPh sb="10" eb="12">
      <t>フクシ</t>
    </rPh>
    <rPh sb="12" eb="14">
      <t>シサク</t>
    </rPh>
    <rPh sb="16" eb="18">
      <t>リカイ</t>
    </rPh>
    <rPh sb="20" eb="22">
      <t>キョウリョク</t>
    </rPh>
    <rPh sb="22" eb="23">
      <t>タマワ</t>
    </rPh>
    <rPh sb="24" eb="26">
      <t>カンシャ</t>
    </rPh>
    <rPh sb="26" eb="27">
      <t>モウ</t>
    </rPh>
    <rPh sb="28" eb="29">
      <t>ア</t>
    </rPh>
    <rPh sb="35" eb="37">
      <t>レイワ</t>
    </rPh>
    <rPh sb="38" eb="39">
      <t>ネン</t>
    </rPh>
    <rPh sb="41" eb="42">
      <t>ガツ</t>
    </rPh>
    <rPh sb="44" eb="45">
      <t>ニチ</t>
    </rPh>
    <rPh sb="45" eb="46">
      <t>ヅケ</t>
    </rPh>
    <rPh sb="48" eb="49">
      <t>ケン</t>
    </rPh>
    <rPh sb="49" eb="50">
      <t>ショウ</t>
    </rPh>
    <rPh sb="50" eb="51">
      <t>ショウ</t>
    </rPh>
    <rPh sb="51" eb="52">
      <t>ダイ</t>
    </rPh>
    <rPh sb="56" eb="57">
      <t>ゴウ</t>
    </rPh>
    <rPh sb="58" eb="60">
      <t>イライ</t>
    </rPh>
    <rPh sb="63" eb="65">
      <t>レイワ</t>
    </rPh>
    <rPh sb="66" eb="68">
      <t>ネンド</t>
    </rPh>
    <rPh sb="83" eb="85">
      <t>ジギョウ</t>
    </rPh>
    <rPh sb="86" eb="87">
      <t>カカ</t>
    </rPh>
    <rPh sb="92" eb="94">
      <t>チョウショ</t>
    </rPh>
    <rPh sb="94" eb="95">
      <t>ナド</t>
    </rPh>
    <rPh sb="96" eb="98">
      <t>テイシュツ</t>
    </rPh>
    <rPh sb="100" eb="101">
      <t>フ</t>
    </rPh>
    <rPh sb="104" eb="105">
      <t>ホン</t>
    </rPh>
    <rPh sb="105" eb="108">
      <t>ホジョキン</t>
    </rPh>
    <rPh sb="109" eb="110">
      <t>カカ</t>
    </rPh>
    <rPh sb="111" eb="113">
      <t>ホジョ</t>
    </rPh>
    <rPh sb="113" eb="114">
      <t>ガク</t>
    </rPh>
    <rPh sb="119" eb="121">
      <t>カキ</t>
    </rPh>
    <rPh sb="125" eb="127">
      <t>ナイジ</t>
    </rPh>
    <phoneticPr fontId="1"/>
  </si>
  <si>
    <t>障害者相談支援事業所 向日葵ライフサポートセンター</t>
    <phoneticPr fontId="1"/>
  </si>
  <si>
    <t>R4健障障第100号</t>
    <rPh sb="2" eb="3">
      <t>ケン</t>
    </rPh>
    <rPh sb="3" eb="4">
      <t>ショウ</t>
    </rPh>
    <rPh sb="4" eb="5">
      <t>ショウ</t>
    </rPh>
    <rPh sb="5" eb="6">
      <t>ダイ</t>
    </rPh>
    <rPh sb="9" eb="10">
      <t>ゴウ</t>
    </rPh>
    <phoneticPr fontId="1"/>
  </si>
  <si>
    <t>仙台市健康福祉局障害福祉部障害企画課長　　</t>
    <rPh sb="0" eb="3">
      <t>センダイシ</t>
    </rPh>
    <rPh sb="3" eb="5">
      <t>ケンコウ</t>
    </rPh>
    <rPh sb="5" eb="7">
      <t>フクシ</t>
    </rPh>
    <rPh sb="7" eb="8">
      <t>キョク</t>
    </rPh>
    <rPh sb="8" eb="10">
      <t>ショウガイ</t>
    </rPh>
    <rPh sb="10" eb="12">
      <t>フクシ</t>
    </rPh>
    <rPh sb="12" eb="13">
      <t>ブ</t>
    </rPh>
    <rPh sb="13" eb="15">
      <t>ショウガイ</t>
    </rPh>
    <rPh sb="15" eb="17">
      <t>キカク</t>
    </rPh>
    <rPh sb="17" eb="18">
      <t>カ</t>
    </rPh>
    <rPh sb="18" eb="19">
      <t>チョウ</t>
    </rPh>
    <phoneticPr fontId="1"/>
  </si>
  <si>
    <t>仙台市健康福祉局障害福祉部障害者支援課長　</t>
    <phoneticPr fontId="1"/>
  </si>
  <si>
    <t>アドレス（申請勧奨）</t>
    <rPh sb="5" eb="7">
      <t>シンセイ</t>
    </rPh>
    <rPh sb="7" eb="9">
      <t>カンショウ</t>
    </rPh>
    <phoneticPr fontId="1"/>
  </si>
  <si>
    <t>アドレス（電子申請）</t>
    <rPh sb="5" eb="7">
      <t>デンシ</t>
    </rPh>
    <rPh sb="7" eb="9">
      <t>シンセイ</t>
    </rPh>
    <phoneticPr fontId="1"/>
  </si>
  <si>
    <t>№2</t>
    <phoneticPr fontId="1"/>
  </si>
  <si>
    <t>info@hop-miyagi.org</t>
    <phoneticPr fontId="1"/>
  </si>
  <si>
    <t>障害福祉分野のICT導入モデル事業対象事業所一覧</t>
    <rPh sb="0" eb="2">
      <t>ショウガイ</t>
    </rPh>
    <rPh sb="2" eb="4">
      <t>フクシ</t>
    </rPh>
    <rPh sb="4" eb="6">
      <t>ブンヤ</t>
    </rPh>
    <rPh sb="10" eb="12">
      <t>ドウニュウ</t>
    </rPh>
    <rPh sb="15" eb="17">
      <t>ジギョウ</t>
    </rPh>
    <rPh sb="17" eb="19">
      <t>タイショウ</t>
    </rPh>
    <rPh sb="19" eb="22">
      <t>ジギョウショ</t>
    </rPh>
    <rPh sb="22" eb="24">
      <t>イチラン</t>
    </rPh>
    <phoneticPr fontId="1"/>
  </si>
  <si>
    <t>検算</t>
    <rPh sb="0" eb="2">
      <t>ケンザン</t>
    </rPh>
    <phoneticPr fontId="1"/>
  </si>
  <si>
    <t>リッキーアカデミージュニア西中田</t>
    <phoneticPr fontId="1"/>
  </si>
  <si>
    <t>リッキーガーデンあすと長町</t>
    <phoneticPr fontId="1"/>
  </si>
  <si>
    <t>リッキー柳生</t>
    <phoneticPr fontId="1"/>
  </si>
  <si>
    <t>所要額調査との差額</t>
    <rPh sb="0" eb="2">
      <t>ショヨウ</t>
    </rPh>
    <rPh sb="2" eb="3">
      <t>ガク</t>
    </rPh>
    <rPh sb="3" eb="5">
      <t>チョウサ</t>
    </rPh>
    <rPh sb="7" eb="9">
      <t>サガク</t>
    </rPh>
    <phoneticPr fontId="1"/>
  </si>
  <si>
    <t>内示用☑</t>
    <rPh sb="0" eb="2">
      <t>ナイジ</t>
    </rPh>
    <rPh sb="2" eb="3">
      <t>ヨウ</t>
    </rPh>
    <phoneticPr fontId="1"/>
  </si>
  <si>
    <t>株式会社good conviction</t>
    <phoneticPr fontId="1"/>
  </si>
  <si>
    <t>合同会社B－ダッシュ</t>
    <phoneticPr fontId="1"/>
  </si>
  <si>
    <t>特定非営利活動法人多夢多夢舎中山工房</t>
    <phoneticPr fontId="1"/>
  </si>
  <si>
    <t>m-kaneko@leifras.co.jp</t>
    <phoneticPr fontId="1"/>
  </si>
  <si>
    <t>takanobu_ishigaki@yokofuku.or.jp</t>
    <phoneticPr fontId="1"/>
  </si>
  <si>
    <t>国庫補助基本額【上限100万円】
（内示額）</t>
    <rPh sb="18" eb="20">
      <t>ナイジ</t>
    </rPh>
    <rPh sb="20" eb="21">
      <t>ガク</t>
    </rPh>
    <phoneticPr fontId="1"/>
  </si>
  <si>
    <t>申請額</t>
    <rPh sb="0" eb="3">
      <t>シンセイガク</t>
    </rPh>
    <phoneticPr fontId="1"/>
  </si>
  <si>
    <t>備考</t>
    <rPh sb="0" eb="2">
      <t>ビコウ</t>
    </rPh>
    <phoneticPr fontId="1"/>
  </si>
  <si>
    <t>機器変更なし（実支出額微増）</t>
    <rPh sb="0" eb="2">
      <t>キキ</t>
    </rPh>
    <rPh sb="2" eb="4">
      <t>ヘンコウ</t>
    </rPh>
    <rPh sb="7" eb="10">
      <t>ジツシシュツ</t>
    </rPh>
    <rPh sb="10" eb="11">
      <t>ガク</t>
    </rPh>
    <rPh sb="11" eb="13">
      <t>ビゾウ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</si>
  <si>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</si>
  <si>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全体は減（フォトショだけ金額増）</t>
    <rPh sb="0" eb="2">
      <t>ゼンタイ</t>
    </rPh>
    <rPh sb="3" eb="4">
      <t>ゲン</t>
    </rPh>
    <rPh sb="12" eb="14">
      <t>キンガク</t>
    </rPh>
    <rPh sb="14" eb="15">
      <t>ゾウ</t>
    </rPh>
    <phoneticPr fontId="1"/>
  </si>
  <si>
    <t>ipodtouchが生産中止により、iphone SEへ機器変更のため、支出額増。</t>
    <rPh sb="10" eb="12">
      <t>セイサン</t>
    </rPh>
    <rPh sb="12" eb="14">
      <t>チュウシ</t>
    </rPh>
    <rPh sb="28" eb="30">
      <t>キキ</t>
    </rPh>
    <rPh sb="30" eb="32">
      <t>ヘンコウ</t>
    </rPh>
    <rPh sb="36" eb="38">
      <t>シシュツ</t>
    </rPh>
    <rPh sb="38" eb="39">
      <t>ガク</t>
    </rPh>
    <rPh sb="39" eb="40">
      <t>ゾウ</t>
    </rPh>
    <phoneticPr fontId="1"/>
  </si>
  <si>
    <t>機器・金額に変更なし</t>
    <rPh sb="0" eb="2">
      <t>キキ</t>
    </rPh>
    <rPh sb="3" eb="5">
      <t>キンガク</t>
    </rPh>
    <rPh sb="6" eb="8">
      <t>ヘンコウ</t>
    </rPh>
    <phoneticPr fontId="1"/>
  </si>
  <si>
    <t>指令番号</t>
    <rPh sb="0" eb="2">
      <t>シレイ</t>
    </rPh>
    <rPh sb="2" eb="4">
      <t>バンゴウ</t>
    </rPh>
    <phoneticPr fontId="1"/>
  </si>
  <si>
    <t>申請日</t>
    <rPh sb="0" eb="2">
      <t>シンセイ</t>
    </rPh>
    <rPh sb="2" eb="3">
      <t>ビ</t>
    </rPh>
    <phoneticPr fontId="9"/>
  </si>
  <si>
    <t>代表取締役　金沢　和樹</t>
    <rPh sb="0" eb="2">
      <t>ダイヒョウ</t>
    </rPh>
    <rPh sb="2" eb="5">
      <t>トリシマリヤク</t>
    </rPh>
    <rPh sb="6" eb="8">
      <t>カナザワ</t>
    </rPh>
    <rPh sb="9" eb="11">
      <t>カズキ</t>
    </rPh>
    <phoneticPr fontId="1"/>
  </si>
  <si>
    <t>代表　鷲見　俊雄</t>
    <rPh sb="0" eb="2">
      <t>ダイヒョウ</t>
    </rPh>
    <phoneticPr fontId="1"/>
  </si>
  <si>
    <t>代表者　飯嶋　茂</t>
    <rPh sb="0" eb="2">
      <t>ダイヒョウ</t>
    </rPh>
    <rPh sb="2" eb="3">
      <t>シャ</t>
    </rPh>
    <rPh sb="4" eb="6">
      <t>イイジマ</t>
    </rPh>
    <phoneticPr fontId="1"/>
  </si>
  <si>
    <t>保留</t>
    <rPh sb="0" eb="2">
      <t>ホリュウ</t>
    </rPh>
    <phoneticPr fontId="1"/>
  </si>
  <si>
    <t>業務支援ソフトが当初計画から削除
⇒当初計画から効果が減少するため、認めがたい。ソフトを検討したうえで決めたいとのことだが、それは理由にならず（だったらそもそも計上しないでよ…）、再検討して欲しい旨伝える。
⇒業務支援ソフト復活して再申請（総額微減）</t>
    <rPh sb="0" eb="2">
      <t>ギョウム</t>
    </rPh>
    <rPh sb="2" eb="4">
      <t>シエン</t>
    </rPh>
    <rPh sb="8" eb="10">
      <t>トウショ</t>
    </rPh>
    <rPh sb="10" eb="12">
      <t>ケイカク</t>
    </rPh>
    <rPh sb="14" eb="16">
      <t>サクジョ</t>
    </rPh>
    <rPh sb="18" eb="20">
      <t>トウショ</t>
    </rPh>
    <rPh sb="20" eb="22">
      <t>ケイカク</t>
    </rPh>
    <rPh sb="24" eb="26">
      <t>コウカ</t>
    </rPh>
    <rPh sb="27" eb="29">
      <t>ゲンショウ</t>
    </rPh>
    <rPh sb="34" eb="35">
      <t>ミト</t>
    </rPh>
    <rPh sb="44" eb="46">
      <t>ケントウ</t>
    </rPh>
    <rPh sb="51" eb="52">
      <t>キ</t>
    </rPh>
    <rPh sb="65" eb="67">
      <t>リユウ</t>
    </rPh>
    <rPh sb="80" eb="82">
      <t>ケイジョウ</t>
    </rPh>
    <rPh sb="90" eb="93">
      <t>サイケントウ</t>
    </rPh>
    <rPh sb="95" eb="96">
      <t>ホ</t>
    </rPh>
    <rPh sb="98" eb="99">
      <t>ムネ</t>
    </rPh>
    <rPh sb="99" eb="100">
      <t>ツタ</t>
    </rPh>
    <rPh sb="105" eb="107">
      <t>ギョウム</t>
    </rPh>
    <rPh sb="107" eb="109">
      <t>シエン</t>
    </rPh>
    <rPh sb="112" eb="114">
      <t>フッカツ</t>
    </rPh>
    <rPh sb="116" eb="119">
      <t>サイシンセイ</t>
    </rPh>
    <rPh sb="120" eb="122">
      <t>ソウガク</t>
    </rPh>
    <rPh sb="122" eb="124">
      <t>ビゲン</t>
    </rPh>
    <phoneticPr fontId="1"/>
  </si>
  <si>
    <t>複数年に渡るソフトウェアライセンスについては、当該年度分のみが対象となる。
⇒5年パック分は1/5に申請額を要圧縮
（6/16）検討のうえ、5年パックでそのまま行いたいが、業者を変えたい。
⇒可能だが、調達可能性や費用について再確認のうえ、申請を行うこと。</t>
    <rPh sb="0" eb="2">
      <t>フクスウ</t>
    </rPh>
    <rPh sb="2" eb="3">
      <t>ネン</t>
    </rPh>
    <rPh sb="4" eb="5">
      <t>ワタ</t>
    </rPh>
    <rPh sb="23" eb="25">
      <t>トウガイ</t>
    </rPh>
    <rPh sb="25" eb="27">
      <t>ネンド</t>
    </rPh>
    <rPh sb="27" eb="28">
      <t>ブン</t>
    </rPh>
    <rPh sb="31" eb="33">
      <t>タイショウ</t>
    </rPh>
    <rPh sb="40" eb="41">
      <t>ネン</t>
    </rPh>
    <rPh sb="44" eb="45">
      <t>ブン</t>
    </rPh>
    <rPh sb="50" eb="53">
      <t>シンセイガク</t>
    </rPh>
    <rPh sb="54" eb="55">
      <t>ヨウ</t>
    </rPh>
    <rPh sb="55" eb="57">
      <t>アッシュク</t>
    </rPh>
    <rPh sb="64" eb="66">
      <t>ケントウ</t>
    </rPh>
    <rPh sb="71" eb="72">
      <t>ネン</t>
    </rPh>
    <rPh sb="80" eb="81">
      <t>オコナ</t>
    </rPh>
    <rPh sb="86" eb="88">
      <t>ギョウシャ</t>
    </rPh>
    <rPh sb="89" eb="90">
      <t>カ</t>
    </rPh>
    <rPh sb="96" eb="98">
      <t>カノウ</t>
    </rPh>
    <rPh sb="101" eb="103">
      <t>チョウタツ</t>
    </rPh>
    <rPh sb="103" eb="106">
      <t>カノウセイ</t>
    </rPh>
    <rPh sb="107" eb="109">
      <t>ヒヨウ</t>
    </rPh>
    <rPh sb="113" eb="116">
      <t>サイカクニン</t>
    </rPh>
    <rPh sb="120" eb="122">
      <t>シンセイ</t>
    </rPh>
    <rPh sb="123" eb="124">
      <t>オコナ</t>
    </rPh>
    <phoneticPr fontId="1"/>
  </si>
  <si>
    <t>6/15☎、催促中
⇒6/17提出、機器・金額に変更なし</t>
    <rPh sb="6" eb="8">
      <t>サイソク</t>
    </rPh>
    <rPh sb="8" eb="9">
      <t>チュウ</t>
    </rPh>
    <rPh sb="15" eb="17">
      <t>テイシュツ</t>
    </rPh>
    <rPh sb="18" eb="20">
      <t>キキ</t>
    </rPh>
    <rPh sb="21" eb="23">
      <t>キンガク</t>
    </rPh>
    <rPh sb="24" eb="26">
      <t>ヘンコウ</t>
    </rPh>
    <phoneticPr fontId="1"/>
  </si>
  <si>
    <t>機器・金額に大きな変更あり。
⇒当初計画はインターネット経由でレジのデータ管理を行う予定であったが、高額であったため、費用対効果を再検討し、USBで一日の売上等をアプリを入れたPC端末に入れる計画へと変更した。それに伴い、スキャナーを増台した。</t>
    <rPh sb="0" eb="2">
      <t>キキ</t>
    </rPh>
    <rPh sb="3" eb="5">
      <t>キンガク</t>
    </rPh>
    <rPh sb="6" eb="7">
      <t>オオ</t>
    </rPh>
    <rPh sb="9" eb="11">
      <t>ヘンコウ</t>
    </rPh>
    <rPh sb="16" eb="18">
      <t>トウショ</t>
    </rPh>
    <rPh sb="18" eb="20">
      <t>ケイカク</t>
    </rPh>
    <rPh sb="28" eb="30">
      <t>ケイユ</t>
    </rPh>
    <rPh sb="37" eb="39">
      <t>カンリ</t>
    </rPh>
    <rPh sb="40" eb="41">
      <t>オコナ</t>
    </rPh>
    <rPh sb="42" eb="44">
      <t>ヨテイ</t>
    </rPh>
    <rPh sb="50" eb="52">
      <t>コウガク</t>
    </rPh>
    <rPh sb="59" eb="61">
      <t>ヒヨウ</t>
    </rPh>
    <rPh sb="61" eb="62">
      <t>タイ</t>
    </rPh>
    <rPh sb="62" eb="64">
      <t>コウカ</t>
    </rPh>
    <rPh sb="65" eb="68">
      <t>サイケントウ</t>
    </rPh>
    <rPh sb="74" eb="76">
      <t>イチニチ</t>
    </rPh>
    <rPh sb="77" eb="79">
      <t>ウリアゲ</t>
    </rPh>
    <rPh sb="79" eb="80">
      <t>ナド</t>
    </rPh>
    <rPh sb="85" eb="86">
      <t>イ</t>
    </rPh>
    <rPh sb="90" eb="92">
      <t>タンマツ</t>
    </rPh>
    <rPh sb="93" eb="94">
      <t>イ</t>
    </rPh>
    <rPh sb="96" eb="98">
      <t>ケイカク</t>
    </rPh>
    <rPh sb="100" eb="102">
      <t>ヘンコウ</t>
    </rPh>
    <rPh sb="108" eb="109">
      <t>トモナ</t>
    </rPh>
    <rPh sb="117" eb="119">
      <t>ゾウダイ</t>
    </rPh>
    <phoneticPr fontId="1"/>
  </si>
  <si>
    <t>法人名</t>
    <rPh sb="0" eb="2">
      <t>ホウジン</t>
    </rPh>
    <rPh sb="2" eb="3">
      <t>メイ</t>
    </rPh>
    <phoneticPr fontId="5"/>
  </si>
  <si>
    <t>法人郵便番号</t>
    <rPh sb="0" eb="2">
      <t>ホウジン</t>
    </rPh>
    <rPh sb="2" eb="6">
      <t>ユウビンバンゴウ</t>
    </rPh>
    <phoneticPr fontId="5"/>
  </si>
  <si>
    <t>法人住所</t>
    <rPh sb="0" eb="2">
      <t>ホウジン</t>
    </rPh>
    <rPh sb="2" eb="4">
      <t>ジュウショ</t>
    </rPh>
    <phoneticPr fontId="5"/>
  </si>
  <si>
    <t>法人代表者名</t>
    <rPh sb="0" eb="2">
      <t>ホウジン</t>
    </rPh>
    <rPh sb="2" eb="5">
      <t>ダイヒョウシャ</t>
    </rPh>
    <rPh sb="5" eb="6">
      <t>メイ</t>
    </rPh>
    <phoneticPr fontId="5"/>
  </si>
  <si>
    <t>施設・事業所種別</t>
    <rPh sb="0" eb="2">
      <t>シセツ</t>
    </rPh>
    <rPh sb="3" eb="6">
      <t>ジギョウショ</t>
    </rPh>
    <rPh sb="6" eb="8">
      <t>シュベツ</t>
    </rPh>
    <phoneticPr fontId="5"/>
  </si>
  <si>
    <t>施設・事業所名</t>
    <rPh sb="0" eb="2">
      <t>シセツ</t>
    </rPh>
    <rPh sb="3" eb="6">
      <t>ジギョウショ</t>
    </rPh>
    <rPh sb="6" eb="7">
      <t>メイ</t>
    </rPh>
    <phoneticPr fontId="5"/>
  </si>
  <si>
    <t>対象経費の
合計額（円）</t>
    <rPh sb="0" eb="2">
      <t>タイショウ</t>
    </rPh>
    <rPh sb="2" eb="4">
      <t>ケイヒ</t>
    </rPh>
    <rPh sb="6" eb="8">
      <t>ゴウケイ</t>
    </rPh>
    <rPh sb="8" eb="9">
      <t>ガク</t>
    </rPh>
    <rPh sb="10" eb="11">
      <t>エン</t>
    </rPh>
    <phoneticPr fontId="5"/>
  </si>
  <si>
    <t>国庫補助
所要額（円）</t>
    <rPh sb="0" eb="2">
      <t>コッコ</t>
    </rPh>
    <rPh sb="2" eb="4">
      <t>ホジョ</t>
    </rPh>
    <rPh sb="5" eb="7">
      <t>ショヨウ</t>
    </rPh>
    <rPh sb="7" eb="8">
      <t>ガク</t>
    </rPh>
    <rPh sb="9" eb="10">
      <t>エン</t>
    </rPh>
    <phoneticPr fontId="5"/>
  </si>
  <si>
    <t>内示額
（円）</t>
    <rPh sb="0" eb="3">
      <t>ナイジガク</t>
    </rPh>
    <rPh sb="5" eb="6">
      <t>エン</t>
    </rPh>
    <phoneticPr fontId="5"/>
  </si>
  <si>
    <t>申請額
（円）</t>
    <rPh sb="0" eb="3">
      <t>シンセイガク</t>
    </rPh>
    <rPh sb="5" eb="6">
      <t>エン</t>
    </rPh>
    <phoneticPr fontId="5"/>
  </si>
  <si>
    <t>交付決定額
（円）</t>
    <rPh sb="0" eb="2">
      <t>コウフ</t>
    </rPh>
    <rPh sb="2" eb="4">
      <t>ケッテイ</t>
    </rPh>
    <rPh sb="4" eb="5">
      <t>ガク</t>
    </rPh>
    <rPh sb="7" eb="8">
      <t>エン</t>
    </rPh>
    <phoneticPr fontId="5"/>
  </si>
  <si>
    <t>申請日等</t>
    <rPh sb="0" eb="2">
      <t>シンセイ</t>
    </rPh>
    <rPh sb="2" eb="3">
      <t>ビ</t>
    </rPh>
    <rPh sb="3" eb="4">
      <t>トウ</t>
    </rPh>
    <phoneticPr fontId="5"/>
  </si>
  <si>
    <t>交付決定
指令番号</t>
    <rPh sb="0" eb="2">
      <t>コウフ</t>
    </rPh>
    <rPh sb="2" eb="4">
      <t>ケッテイ</t>
    </rPh>
    <rPh sb="5" eb="7">
      <t>シレイ</t>
    </rPh>
    <rPh sb="7" eb="9">
      <t>バンゴウ</t>
    </rPh>
    <phoneticPr fontId="5"/>
  </si>
  <si>
    <t>担当者名</t>
    <rPh sb="0" eb="3">
      <t>タントウシャ</t>
    </rPh>
    <rPh sb="3" eb="4">
      <t>メイ</t>
    </rPh>
    <phoneticPr fontId="5"/>
  </si>
  <si>
    <t>請求書</t>
    <rPh sb="0" eb="3">
      <t>セイキュウショ</t>
    </rPh>
    <phoneticPr fontId="5"/>
  </si>
  <si>
    <t>社会福祉法人陽光福祉会</t>
    <rPh sb="0" eb="2">
      <t>シャカイ</t>
    </rPh>
    <rPh sb="2" eb="4">
      <t>フクシ</t>
    </rPh>
    <rPh sb="4" eb="6">
      <t>ホウジン</t>
    </rPh>
    <rPh sb="6" eb="8">
      <t>ヨウコウ</t>
    </rPh>
    <rPh sb="8" eb="10">
      <t>フクシ</t>
    </rPh>
    <rPh sb="10" eb="11">
      <t>カイ</t>
    </rPh>
    <phoneticPr fontId="3"/>
  </si>
  <si>
    <t>社会福祉法人陽光福祉会</t>
    <rPh sb="0" eb="2">
      <t>シャカイ</t>
    </rPh>
    <rPh sb="2" eb="4">
      <t>フクシ</t>
    </rPh>
    <rPh sb="4" eb="6">
      <t>ホウジン</t>
    </rPh>
    <rPh sb="6" eb="8">
      <t>ヨウコウ</t>
    </rPh>
    <rPh sb="8" eb="10">
      <t>フクシ</t>
    </rPh>
    <rPh sb="10" eb="11">
      <t>カイ</t>
    </rPh>
    <phoneticPr fontId="5"/>
  </si>
  <si>
    <t>989-3212</t>
    <phoneticPr fontId="5"/>
  </si>
  <si>
    <t>仙台市青葉区芋沢字横前１番地の１</t>
    <rPh sb="0" eb="3">
      <t>センダイシ</t>
    </rPh>
    <rPh sb="3" eb="6">
      <t>アオバク</t>
    </rPh>
    <rPh sb="6" eb="8">
      <t>イモザワ</t>
    </rPh>
    <rPh sb="8" eb="9">
      <t>アザ</t>
    </rPh>
    <rPh sb="9" eb="11">
      <t>ヨコマエ</t>
    </rPh>
    <rPh sb="12" eb="14">
      <t>バンチ</t>
    </rPh>
    <phoneticPr fontId="5"/>
  </si>
  <si>
    <t>理事長　千葉　雄成</t>
    <rPh sb="0" eb="3">
      <t>リジチョウ</t>
    </rPh>
    <rPh sb="4" eb="6">
      <t>チバ</t>
    </rPh>
    <rPh sb="7" eb="8">
      <t>ユウ</t>
    </rPh>
    <rPh sb="8" eb="9">
      <t>ナリ</t>
    </rPh>
    <phoneticPr fontId="3"/>
  </si>
  <si>
    <t>理事長　千葉　雄成</t>
    <rPh sb="0" eb="3">
      <t>リジチョウ</t>
    </rPh>
    <rPh sb="4" eb="6">
      <t>チバ</t>
    </rPh>
    <rPh sb="7" eb="8">
      <t>ユウ</t>
    </rPh>
    <rPh sb="8" eb="9">
      <t>ナリ</t>
    </rPh>
    <phoneticPr fontId="5"/>
  </si>
  <si>
    <t>療養介護</t>
    <rPh sb="0" eb="2">
      <t>リョウヨウ</t>
    </rPh>
    <rPh sb="2" eb="4">
      <t>カイゴ</t>
    </rPh>
    <phoneticPr fontId="3"/>
  </si>
  <si>
    <t>療養介護</t>
    <rPh sb="0" eb="2">
      <t>リョウヨウ</t>
    </rPh>
    <rPh sb="2" eb="4">
      <t>カイゴ</t>
    </rPh>
    <phoneticPr fontId="5"/>
  </si>
  <si>
    <t>仙台エコー医療療育センター</t>
    <rPh sb="0" eb="2">
      <t>センダイ</t>
    </rPh>
    <rPh sb="5" eb="7">
      <t>イリョウ</t>
    </rPh>
    <rPh sb="7" eb="9">
      <t>リョウイク</t>
    </rPh>
    <phoneticPr fontId="3"/>
  </si>
  <si>
    <t>仙台エコー医療療育センター</t>
    <rPh sb="0" eb="2">
      <t>センダイ</t>
    </rPh>
    <rPh sb="5" eb="7">
      <t>イリョウ</t>
    </rPh>
    <rPh sb="7" eb="9">
      <t>リョウイク</t>
    </rPh>
    <phoneticPr fontId="5"/>
  </si>
  <si>
    <t>令和４年６月１０付陽光福第２８号</t>
    <rPh sb="0" eb="2">
      <t>レイワ</t>
    </rPh>
    <rPh sb="3" eb="4">
      <t>ネン</t>
    </rPh>
    <rPh sb="5" eb="6">
      <t>ガツ</t>
    </rPh>
    <rPh sb="8" eb="9">
      <t>ツ</t>
    </rPh>
    <rPh sb="9" eb="11">
      <t>ヨウコウ</t>
    </rPh>
    <rPh sb="11" eb="12">
      <t>フク</t>
    </rPh>
    <rPh sb="12" eb="13">
      <t>ダイ</t>
    </rPh>
    <rPh sb="15" eb="16">
      <t>ゴウ</t>
    </rPh>
    <phoneticPr fontId="5"/>
  </si>
  <si>
    <t>佐藤（竜）</t>
    <rPh sb="0" eb="2">
      <t>サトウ</t>
    </rPh>
    <rPh sb="3" eb="4">
      <t>リュウ</t>
    </rPh>
    <phoneticPr fontId="5"/>
  </si>
  <si>
    <t>〇</t>
    <phoneticPr fontId="5"/>
  </si>
  <si>
    <t>社会福祉法人つどいの家</t>
    <rPh sb="0" eb="2">
      <t>シャカイ</t>
    </rPh>
    <rPh sb="2" eb="4">
      <t>フクシ</t>
    </rPh>
    <rPh sb="4" eb="6">
      <t>ホウジン</t>
    </rPh>
    <rPh sb="10" eb="11">
      <t>イエ</t>
    </rPh>
    <phoneticPr fontId="3"/>
  </si>
  <si>
    <t>社会福祉法人つどいの家</t>
    <rPh sb="0" eb="2">
      <t>シャカイ</t>
    </rPh>
    <rPh sb="2" eb="4">
      <t>フクシ</t>
    </rPh>
    <rPh sb="4" eb="6">
      <t>ホウジン</t>
    </rPh>
    <rPh sb="10" eb="11">
      <t>イエ</t>
    </rPh>
    <phoneticPr fontId="5"/>
  </si>
  <si>
    <t>984-0838</t>
  </si>
  <si>
    <t>仙台市若林区上飯田1丁目17番58号</t>
    <rPh sb="0" eb="3">
      <t>センダイシ</t>
    </rPh>
    <rPh sb="3" eb="6">
      <t>ワカバヤシク</t>
    </rPh>
    <rPh sb="6" eb="9">
      <t>カミイイダ</t>
    </rPh>
    <rPh sb="10" eb="12">
      <t>チョウメ</t>
    </rPh>
    <rPh sb="14" eb="15">
      <t>バン</t>
    </rPh>
    <rPh sb="17" eb="18">
      <t>ゴウ</t>
    </rPh>
    <phoneticPr fontId="5"/>
  </si>
  <si>
    <t>理事長　佐藤　清</t>
    <rPh sb="0" eb="3">
      <t>リジチョウ</t>
    </rPh>
    <rPh sb="4" eb="6">
      <t>サトウ</t>
    </rPh>
    <rPh sb="7" eb="8">
      <t>キヨシ</t>
    </rPh>
    <phoneticPr fontId="3"/>
  </si>
  <si>
    <t>理事長　佐藤　清</t>
    <rPh sb="0" eb="3">
      <t>リジチョウ</t>
    </rPh>
    <rPh sb="4" eb="6">
      <t>サトウ</t>
    </rPh>
    <rPh sb="7" eb="8">
      <t>キヨシ</t>
    </rPh>
    <phoneticPr fontId="5"/>
  </si>
  <si>
    <t>居宅介護</t>
    <rPh sb="0" eb="2">
      <t>キョタク</t>
    </rPh>
    <rPh sb="2" eb="4">
      <t>カイゴ</t>
    </rPh>
    <phoneticPr fontId="3"/>
  </si>
  <si>
    <t>居宅介護</t>
    <rPh sb="0" eb="2">
      <t>キョタク</t>
    </rPh>
    <rPh sb="2" eb="4">
      <t>カイゴ</t>
    </rPh>
    <phoneticPr fontId="5"/>
  </si>
  <si>
    <t>ぺんたす</t>
    <phoneticPr fontId="5"/>
  </si>
  <si>
    <t>令和4年6月13日付社福つ第22号</t>
    <rPh sb="0" eb="2">
      <t>レイワ</t>
    </rPh>
    <rPh sb="3" eb="4">
      <t>ネン</t>
    </rPh>
    <rPh sb="5" eb="6">
      <t>ガツ</t>
    </rPh>
    <rPh sb="8" eb="9">
      <t>ニチ</t>
    </rPh>
    <rPh sb="9" eb="10">
      <t>ヅケ</t>
    </rPh>
    <rPh sb="10" eb="12">
      <t>シャフク</t>
    </rPh>
    <rPh sb="13" eb="14">
      <t>ダイ</t>
    </rPh>
    <rPh sb="16" eb="17">
      <t>ゴウ</t>
    </rPh>
    <phoneticPr fontId="5"/>
  </si>
  <si>
    <t>藤井</t>
    <rPh sb="0" eb="2">
      <t>フジイ</t>
    </rPh>
    <phoneticPr fontId="5"/>
  </si>
  <si>
    <t>ぴぼっと</t>
    <phoneticPr fontId="5"/>
  </si>
  <si>
    <t>令和4年7月19日付第43号</t>
    <rPh sb="0" eb="2">
      <t>レイワ</t>
    </rPh>
    <rPh sb="3" eb="4">
      <t>ネン</t>
    </rPh>
    <rPh sb="5" eb="6">
      <t>ガツ</t>
    </rPh>
    <rPh sb="8" eb="9">
      <t>ニチ</t>
    </rPh>
    <rPh sb="9" eb="10">
      <t>ヅケ</t>
    </rPh>
    <rPh sb="10" eb="11">
      <t>ダイ</t>
    </rPh>
    <rPh sb="13" eb="14">
      <t>ゴウ</t>
    </rPh>
    <phoneticPr fontId="5"/>
  </si>
  <si>
    <t>生活介護</t>
    <rPh sb="0" eb="2">
      <t>セイカツ</t>
    </rPh>
    <rPh sb="2" eb="4">
      <t>カイゴ</t>
    </rPh>
    <phoneticPr fontId="3"/>
  </si>
  <si>
    <t>生活介護</t>
    <rPh sb="0" eb="2">
      <t>セイカツ</t>
    </rPh>
    <rPh sb="2" eb="4">
      <t>カイゴ</t>
    </rPh>
    <phoneticPr fontId="5"/>
  </si>
  <si>
    <t>仙台つどいの家</t>
    <rPh sb="0" eb="2">
      <t>センダイ</t>
    </rPh>
    <rPh sb="6" eb="7">
      <t>イエ</t>
    </rPh>
    <phoneticPr fontId="3"/>
  </si>
  <si>
    <t>仙台つどいの家</t>
    <rPh sb="0" eb="2">
      <t>センダイ</t>
    </rPh>
    <rPh sb="6" eb="7">
      <t>イエ</t>
    </rPh>
    <phoneticPr fontId="5"/>
  </si>
  <si>
    <t>令和4年6月14日付社福つ第18号</t>
    <rPh sb="0" eb="2">
      <t>レイワ</t>
    </rPh>
    <rPh sb="3" eb="4">
      <t>ネン</t>
    </rPh>
    <rPh sb="5" eb="6">
      <t>ガツ</t>
    </rPh>
    <rPh sb="8" eb="9">
      <t>ニチ</t>
    </rPh>
    <rPh sb="9" eb="10">
      <t>ヅケ</t>
    </rPh>
    <rPh sb="10" eb="12">
      <t>シャフク</t>
    </rPh>
    <rPh sb="13" eb="14">
      <t>ダイ</t>
    </rPh>
    <rPh sb="16" eb="17">
      <t>ゴウ</t>
    </rPh>
    <phoneticPr fontId="5"/>
  </si>
  <si>
    <t>鈴木（裕）</t>
    <rPh sb="0" eb="2">
      <t>スズキ</t>
    </rPh>
    <rPh sb="3" eb="4">
      <t>ユウ</t>
    </rPh>
    <phoneticPr fontId="5"/>
  </si>
  <si>
    <t>つどいの家・アプリ</t>
    <rPh sb="4" eb="5">
      <t>イエ</t>
    </rPh>
    <phoneticPr fontId="3"/>
  </si>
  <si>
    <t>つどいの家・アプリ</t>
    <rPh sb="4" eb="5">
      <t>イエ</t>
    </rPh>
    <phoneticPr fontId="5"/>
  </si>
  <si>
    <t>令和4年6月13日付社福つ第24号</t>
    <rPh sb="0" eb="2">
      <t>レイワ</t>
    </rPh>
    <rPh sb="3" eb="4">
      <t>ネン</t>
    </rPh>
    <rPh sb="5" eb="6">
      <t>ガツ</t>
    </rPh>
    <rPh sb="8" eb="9">
      <t>ニチ</t>
    </rPh>
    <rPh sb="9" eb="10">
      <t>ヅケ</t>
    </rPh>
    <rPh sb="10" eb="12">
      <t>シャフク</t>
    </rPh>
    <rPh sb="13" eb="14">
      <t>ダイ</t>
    </rPh>
    <rPh sb="16" eb="17">
      <t>ゴウ</t>
    </rPh>
    <phoneticPr fontId="5"/>
  </si>
  <si>
    <t>つどいの家・コペル</t>
    <rPh sb="4" eb="5">
      <t>イエ</t>
    </rPh>
    <phoneticPr fontId="3"/>
  </si>
  <si>
    <t>つどいの家・コペル</t>
    <rPh sb="4" eb="5">
      <t>イエ</t>
    </rPh>
    <phoneticPr fontId="5"/>
  </si>
  <si>
    <t>令和4年6月13日付社福つ第17号</t>
    <rPh sb="0" eb="2">
      <t>レイワ</t>
    </rPh>
    <rPh sb="3" eb="4">
      <t>ネン</t>
    </rPh>
    <rPh sb="5" eb="6">
      <t>ガツ</t>
    </rPh>
    <rPh sb="8" eb="9">
      <t>ニチ</t>
    </rPh>
    <rPh sb="9" eb="10">
      <t>ヅケ</t>
    </rPh>
    <rPh sb="10" eb="12">
      <t>シャフク</t>
    </rPh>
    <rPh sb="13" eb="14">
      <t>ダイ</t>
    </rPh>
    <rPh sb="16" eb="17">
      <t>ゴウ</t>
    </rPh>
    <phoneticPr fontId="5"/>
  </si>
  <si>
    <t>八木山つどいの家</t>
    <rPh sb="0" eb="3">
      <t>ヤギヤマ</t>
    </rPh>
    <rPh sb="7" eb="8">
      <t>イエ</t>
    </rPh>
    <phoneticPr fontId="3"/>
  </si>
  <si>
    <t>八木山つどいの家</t>
    <rPh sb="0" eb="3">
      <t>ヤギヤマ</t>
    </rPh>
    <rPh sb="7" eb="8">
      <t>イエ</t>
    </rPh>
    <phoneticPr fontId="5"/>
  </si>
  <si>
    <t>令和4年6月10日付社福つ第19号</t>
    <rPh sb="0" eb="2">
      <t>レイワ</t>
    </rPh>
    <rPh sb="3" eb="4">
      <t>ネン</t>
    </rPh>
    <rPh sb="5" eb="6">
      <t>ガツ</t>
    </rPh>
    <rPh sb="8" eb="9">
      <t>ニチ</t>
    </rPh>
    <rPh sb="9" eb="10">
      <t>ヅケ</t>
    </rPh>
    <rPh sb="10" eb="12">
      <t>シャフク</t>
    </rPh>
    <rPh sb="13" eb="14">
      <t>ダイ</t>
    </rPh>
    <rPh sb="16" eb="17">
      <t>ゴウ</t>
    </rPh>
    <phoneticPr fontId="5"/>
  </si>
  <si>
    <t>計画相談支援</t>
    <rPh sb="0" eb="2">
      <t>ケイカク</t>
    </rPh>
    <rPh sb="2" eb="4">
      <t>ソウダン</t>
    </rPh>
    <rPh sb="4" eb="6">
      <t>シエン</t>
    </rPh>
    <phoneticPr fontId="3"/>
  </si>
  <si>
    <t>計画相談支援</t>
    <rPh sb="0" eb="2">
      <t>ケイカク</t>
    </rPh>
    <rPh sb="2" eb="4">
      <t>ソウダン</t>
    </rPh>
    <rPh sb="4" eb="6">
      <t>シエン</t>
    </rPh>
    <phoneticPr fontId="5"/>
  </si>
  <si>
    <t>ぴぼっと支倉</t>
    <rPh sb="4" eb="6">
      <t>ハセクラ</t>
    </rPh>
    <phoneticPr fontId="3"/>
  </si>
  <si>
    <t>ぴぼっと支倉</t>
    <rPh sb="4" eb="6">
      <t>ハセクラ</t>
    </rPh>
    <phoneticPr fontId="5"/>
  </si>
  <si>
    <t>令和4年6月14日付社福つ発第25号</t>
    <rPh sb="0" eb="2">
      <t>レイワ</t>
    </rPh>
    <rPh sb="3" eb="4">
      <t>ネン</t>
    </rPh>
    <rPh sb="5" eb="6">
      <t>ガツ</t>
    </rPh>
    <rPh sb="8" eb="9">
      <t>ニチ</t>
    </rPh>
    <rPh sb="9" eb="10">
      <t>ヅケ</t>
    </rPh>
    <rPh sb="10" eb="12">
      <t>シャフク</t>
    </rPh>
    <rPh sb="13" eb="14">
      <t>ハツ</t>
    </rPh>
    <rPh sb="14" eb="15">
      <t>ダイ</t>
    </rPh>
    <rPh sb="17" eb="18">
      <t>ゴウ</t>
    </rPh>
    <phoneticPr fontId="5"/>
  </si>
  <si>
    <t>社会福祉法人つどいの家</t>
    <rPh sb="0" eb="6">
      <t>シャカイフクシホウジン</t>
    </rPh>
    <rPh sb="10" eb="11">
      <t>イエ</t>
    </rPh>
    <phoneticPr fontId="3"/>
  </si>
  <si>
    <t>社会福祉法人つどいの家</t>
    <rPh sb="0" eb="6">
      <t>シャカイフクシホウジン</t>
    </rPh>
    <rPh sb="10" eb="11">
      <t>イエ</t>
    </rPh>
    <phoneticPr fontId="5"/>
  </si>
  <si>
    <t>共同生活援助</t>
    <rPh sb="0" eb="2">
      <t>キョウドウ</t>
    </rPh>
    <rPh sb="2" eb="4">
      <t>セイカツ</t>
    </rPh>
    <rPh sb="4" eb="6">
      <t>エンジョ</t>
    </rPh>
    <phoneticPr fontId="3"/>
  </si>
  <si>
    <t>共同生活援助</t>
    <rPh sb="0" eb="2">
      <t>キョウドウ</t>
    </rPh>
    <rPh sb="2" eb="4">
      <t>セイカツ</t>
    </rPh>
    <rPh sb="4" eb="6">
      <t>エンジョ</t>
    </rPh>
    <phoneticPr fontId="5"/>
  </si>
  <si>
    <t>ひこうき雲</t>
    <rPh sb="4" eb="5">
      <t>クモ</t>
    </rPh>
    <phoneticPr fontId="3"/>
  </si>
  <si>
    <t>ひこうき雲</t>
    <rPh sb="4" eb="5">
      <t>クモ</t>
    </rPh>
    <phoneticPr fontId="5"/>
  </si>
  <si>
    <t>令和4年7月19日付第42号</t>
    <rPh sb="10" eb="11">
      <t>ダイ</t>
    </rPh>
    <rPh sb="13" eb="14">
      <t>ゴウ</t>
    </rPh>
    <phoneticPr fontId="5"/>
  </si>
  <si>
    <t>田中</t>
    <rPh sb="0" eb="2">
      <t>タナカ</t>
    </rPh>
    <phoneticPr fontId="5"/>
  </si>
  <si>
    <t>社会福祉法人仙台市手をつなぐ育成会</t>
    <rPh sb="0" eb="2">
      <t>シャカイ</t>
    </rPh>
    <rPh sb="2" eb="4">
      <t>フクシ</t>
    </rPh>
    <rPh sb="4" eb="6">
      <t>ホウジン</t>
    </rPh>
    <rPh sb="6" eb="9">
      <t>センダイシ</t>
    </rPh>
    <rPh sb="9" eb="10">
      <t>テ</t>
    </rPh>
    <rPh sb="14" eb="17">
      <t>イクセイカイ</t>
    </rPh>
    <phoneticPr fontId="3"/>
  </si>
  <si>
    <t>社会福祉法人仙台市手をつなぐ育成会</t>
    <rPh sb="0" eb="2">
      <t>シャカイ</t>
    </rPh>
    <rPh sb="2" eb="4">
      <t>フクシ</t>
    </rPh>
    <rPh sb="4" eb="6">
      <t>ホウジン</t>
    </rPh>
    <rPh sb="6" eb="9">
      <t>センダイシ</t>
    </rPh>
    <rPh sb="9" eb="10">
      <t>テ</t>
    </rPh>
    <rPh sb="14" eb="17">
      <t>イクセイカイ</t>
    </rPh>
    <phoneticPr fontId="5"/>
  </si>
  <si>
    <t>980-0022</t>
    <phoneticPr fontId="5"/>
  </si>
  <si>
    <t>仙台市青葉区五橋2-12-2　福祉プラザ8階</t>
    <rPh sb="0" eb="3">
      <t>センダイシ</t>
    </rPh>
    <rPh sb="3" eb="6">
      <t>アオバク</t>
    </rPh>
    <rPh sb="6" eb="8">
      <t>イツツバシ</t>
    </rPh>
    <rPh sb="15" eb="17">
      <t>フクシ</t>
    </rPh>
    <rPh sb="21" eb="22">
      <t>カイ</t>
    </rPh>
    <phoneticPr fontId="5"/>
  </si>
  <si>
    <t>理事長　千葉　厚子</t>
    <rPh sb="0" eb="3">
      <t>リジチョウ</t>
    </rPh>
    <rPh sb="4" eb="6">
      <t>チバ</t>
    </rPh>
    <rPh sb="7" eb="9">
      <t>アツコ</t>
    </rPh>
    <phoneticPr fontId="3"/>
  </si>
  <si>
    <t>理事長　千葉　厚子</t>
    <rPh sb="0" eb="3">
      <t>リジチョウ</t>
    </rPh>
    <rPh sb="4" eb="6">
      <t>チバ</t>
    </rPh>
    <rPh sb="7" eb="9">
      <t>アツコ</t>
    </rPh>
    <phoneticPr fontId="5"/>
  </si>
  <si>
    <t>多機能事業（生活介護・就労継続支援B型）</t>
    <rPh sb="0" eb="3">
      <t>タキノウ</t>
    </rPh>
    <rPh sb="3" eb="5">
      <t>ジギョウ</t>
    </rPh>
    <rPh sb="6" eb="8">
      <t>セイカツ</t>
    </rPh>
    <rPh sb="8" eb="10">
      <t>カイゴ</t>
    </rPh>
    <rPh sb="11" eb="13">
      <t>シュウロウ</t>
    </rPh>
    <rPh sb="13" eb="15">
      <t>ケイゾク</t>
    </rPh>
    <rPh sb="15" eb="17">
      <t>シエン</t>
    </rPh>
    <rPh sb="18" eb="19">
      <t>ガタ</t>
    </rPh>
    <phoneticPr fontId="5"/>
  </si>
  <si>
    <t>ホープすずかけ</t>
    <phoneticPr fontId="5"/>
  </si>
  <si>
    <t>令和4年6月14日付仙育第31号</t>
    <rPh sb="0" eb="2">
      <t>レイワ</t>
    </rPh>
    <rPh sb="3" eb="4">
      <t>ネン</t>
    </rPh>
    <rPh sb="5" eb="6">
      <t>ガツ</t>
    </rPh>
    <rPh sb="8" eb="9">
      <t>ニチ</t>
    </rPh>
    <rPh sb="9" eb="10">
      <t>ヅケ</t>
    </rPh>
    <rPh sb="10" eb="11">
      <t>セン</t>
    </rPh>
    <rPh sb="11" eb="12">
      <t>イク</t>
    </rPh>
    <rPh sb="12" eb="13">
      <t>ダイ</t>
    </rPh>
    <rPh sb="15" eb="16">
      <t>ゴウ</t>
    </rPh>
    <phoneticPr fontId="5"/>
  </si>
  <si>
    <t>社会福祉法人　ふれあいの森</t>
    <rPh sb="0" eb="2">
      <t>シャカイ</t>
    </rPh>
    <rPh sb="2" eb="4">
      <t>フクシ</t>
    </rPh>
    <rPh sb="4" eb="6">
      <t>ホウジン</t>
    </rPh>
    <rPh sb="12" eb="13">
      <t>モリ</t>
    </rPh>
    <phoneticPr fontId="3"/>
  </si>
  <si>
    <t>社会福祉法人　ふれあいの森</t>
    <rPh sb="0" eb="2">
      <t>シャカイ</t>
    </rPh>
    <rPh sb="2" eb="4">
      <t>フクシ</t>
    </rPh>
    <rPh sb="4" eb="6">
      <t>ホウジン</t>
    </rPh>
    <rPh sb="12" eb="13">
      <t>モリ</t>
    </rPh>
    <phoneticPr fontId="5"/>
  </si>
  <si>
    <t>981-1102</t>
    <phoneticPr fontId="5"/>
  </si>
  <si>
    <t>仙台市太白区袋原５丁目１７－３３</t>
    <rPh sb="0" eb="3">
      <t>センダイシ</t>
    </rPh>
    <rPh sb="3" eb="6">
      <t>タイハクク</t>
    </rPh>
    <rPh sb="6" eb="8">
      <t>フクロバラ</t>
    </rPh>
    <rPh sb="9" eb="11">
      <t>チョウメ</t>
    </rPh>
    <phoneticPr fontId="5"/>
  </si>
  <si>
    <t>理事長　早坂　忠美</t>
  </si>
  <si>
    <t>グループホームふくろばら</t>
    <phoneticPr fontId="5"/>
  </si>
  <si>
    <t>令和4年7月7日付</t>
    <phoneticPr fontId="5"/>
  </si>
  <si>
    <t>社会福祉法人ふれあいの森</t>
    <rPh sb="0" eb="2">
      <t>シャカイ</t>
    </rPh>
    <rPh sb="2" eb="4">
      <t>フクシ</t>
    </rPh>
    <rPh sb="4" eb="6">
      <t>ホウジン</t>
    </rPh>
    <rPh sb="11" eb="12">
      <t>モリ</t>
    </rPh>
    <phoneticPr fontId="5"/>
  </si>
  <si>
    <t>理事長　早坂　忠美</t>
    <rPh sb="0" eb="3">
      <t>リジチョウ</t>
    </rPh>
    <rPh sb="4" eb="6">
      <t>ハヤサカ</t>
    </rPh>
    <rPh sb="7" eb="9">
      <t>タダミ</t>
    </rPh>
    <phoneticPr fontId="3"/>
  </si>
  <si>
    <t>理事長　早坂　忠美</t>
    <rPh sb="0" eb="3">
      <t>リジチョウ</t>
    </rPh>
    <rPh sb="4" eb="6">
      <t>ハヤサカ</t>
    </rPh>
    <rPh sb="7" eb="9">
      <t>タダミ</t>
    </rPh>
    <phoneticPr fontId="5"/>
  </si>
  <si>
    <t>障害者相談支援　向日葵ライフサポートセンター</t>
    <rPh sb="0" eb="3">
      <t>ショウガイシャ</t>
    </rPh>
    <rPh sb="3" eb="5">
      <t>ソウダン</t>
    </rPh>
    <rPh sb="5" eb="7">
      <t>シエン</t>
    </rPh>
    <rPh sb="8" eb="11">
      <t>ヒマワリ</t>
    </rPh>
    <phoneticPr fontId="3"/>
  </si>
  <si>
    <t>障害者相談支援　向日葵ライフサポートセンター</t>
    <rPh sb="0" eb="3">
      <t>ショウガイシャ</t>
    </rPh>
    <rPh sb="3" eb="5">
      <t>ソウダン</t>
    </rPh>
    <rPh sb="5" eb="7">
      <t>シエン</t>
    </rPh>
    <rPh sb="8" eb="11">
      <t>ヒマワリ</t>
    </rPh>
    <phoneticPr fontId="5"/>
  </si>
  <si>
    <t>令和４年７月７日付</t>
    <rPh sb="0" eb="2">
      <t>レイワ</t>
    </rPh>
    <rPh sb="3" eb="4">
      <t>ネン</t>
    </rPh>
    <rPh sb="5" eb="6">
      <t>ガツ</t>
    </rPh>
    <rPh sb="7" eb="8">
      <t>ニチ</t>
    </rPh>
    <rPh sb="8" eb="9">
      <t>ヅケ</t>
    </rPh>
    <phoneticPr fontId="5"/>
  </si>
  <si>
    <t>社会福祉法人みずきの郷</t>
    <rPh sb="0" eb="2">
      <t>シャカイ</t>
    </rPh>
    <rPh sb="2" eb="4">
      <t>フクシ</t>
    </rPh>
    <rPh sb="4" eb="6">
      <t>ホウジン</t>
    </rPh>
    <rPh sb="10" eb="11">
      <t>サト</t>
    </rPh>
    <phoneticPr fontId="3"/>
  </si>
  <si>
    <t>社会福祉法人みずきの郷</t>
    <rPh sb="0" eb="2">
      <t>シャカイ</t>
    </rPh>
    <rPh sb="2" eb="4">
      <t>フクシ</t>
    </rPh>
    <rPh sb="4" eb="6">
      <t>ホウジン</t>
    </rPh>
    <rPh sb="10" eb="11">
      <t>サト</t>
    </rPh>
    <phoneticPr fontId="5"/>
  </si>
  <si>
    <t>989-3124</t>
  </si>
  <si>
    <t>仙台市青葉区上愛子字道上59-4</t>
    <rPh sb="0" eb="3">
      <t>センダイシ</t>
    </rPh>
    <rPh sb="3" eb="6">
      <t>アオバク</t>
    </rPh>
    <rPh sb="6" eb="9">
      <t>カミアヤシ</t>
    </rPh>
    <rPh sb="9" eb="10">
      <t>アザ</t>
    </rPh>
    <rPh sb="10" eb="11">
      <t>ミチ</t>
    </rPh>
    <rPh sb="11" eb="12">
      <t>ウエ</t>
    </rPh>
    <phoneticPr fontId="5"/>
  </si>
  <si>
    <t>理事長　米倉　尚美</t>
    <rPh sb="0" eb="3">
      <t>リジチョウ</t>
    </rPh>
    <rPh sb="4" eb="6">
      <t>ヨネクラ</t>
    </rPh>
    <rPh sb="7" eb="9">
      <t>ナオミ</t>
    </rPh>
    <phoneticPr fontId="3"/>
  </si>
  <si>
    <t>理事長　米倉　尚美</t>
    <rPh sb="0" eb="3">
      <t>リジチョウ</t>
    </rPh>
    <rPh sb="4" eb="6">
      <t>ヨネクラ</t>
    </rPh>
    <rPh sb="7" eb="9">
      <t>ナオミ</t>
    </rPh>
    <phoneticPr fontId="5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</si>
  <si>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</si>
  <si>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障害者支援施設</t>
    <rPh sb="0" eb="3">
      <t>ショウガイシャ</t>
    </rPh>
    <rPh sb="3" eb="5">
      <t>シエン</t>
    </rPh>
    <rPh sb="5" eb="7">
      <t>シセツ</t>
    </rPh>
    <phoneticPr fontId="5"/>
  </si>
  <si>
    <t>ひかり苑</t>
    <rPh sb="3" eb="4">
      <t>エン</t>
    </rPh>
    <phoneticPr fontId="3"/>
  </si>
  <si>
    <t>ひかり苑</t>
    <rPh sb="3" eb="4">
      <t>エン</t>
    </rPh>
    <phoneticPr fontId="5"/>
  </si>
  <si>
    <t>令和4年6月10日付みずき第9号</t>
    <rPh sb="0" eb="2">
      <t>レイワ</t>
    </rPh>
    <rPh sb="3" eb="4">
      <t>ネン</t>
    </rPh>
    <rPh sb="5" eb="6">
      <t>ガツ</t>
    </rPh>
    <rPh sb="8" eb="9">
      <t>ニチ</t>
    </rPh>
    <rPh sb="9" eb="10">
      <t>ヅ</t>
    </rPh>
    <rPh sb="13" eb="14">
      <t>ダイ</t>
    </rPh>
    <rPh sb="15" eb="16">
      <t>ゴウ</t>
    </rPh>
    <phoneticPr fontId="5"/>
  </si>
  <si>
    <t>特定非営利活動法人ぴあいんく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</si>
  <si>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特定非営利活動法人ぴあいんく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</si>
  <si>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981-0905</t>
  </si>
  <si>
    <t>仙台市青葉区小松島新堤5-31</t>
    <rPh sb="0" eb="3">
      <t>センダイシ</t>
    </rPh>
    <rPh sb="3" eb="6">
      <t>アオバク</t>
    </rPh>
    <rPh sb="6" eb="9">
      <t>コマツシマ</t>
    </rPh>
    <rPh sb="9" eb="10">
      <t>シン</t>
    </rPh>
    <rPh sb="10" eb="11">
      <t>ツツミ</t>
    </rPh>
    <phoneticPr fontId="5"/>
  </si>
  <si>
    <t>理事長　安澤　佐知子</t>
    <rPh sb="0" eb="3">
      <t>リジチョウ</t>
    </rPh>
    <rPh sb="4" eb="6">
      <t>アンザワ</t>
    </rPh>
    <rPh sb="7" eb="10">
      <t>サチコ</t>
    </rPh>
    <phoneticPr fontId="3"/>
  </si>
  <si>
    <t>理事長　安澤　佐知子</t>
    <rPh sb="0" eb="3">
      <t>リジチョウ</t>
    </rPh>
    <rPh sb="4" eb="6">
      <t>アンザワ</t>
    </rPh>
    <rPh sb="7" eb="10">
      <t>サチコ</t>
    </rPh>
    <phoneticPr fontId="5"/>
  </si>
  <si>
    <t>ぴあにか</t>
    <phoneticPr fontId="5"/>
  </si>
  <si>
    <t>令和4年6月10日付</t>
    <rPh sb="0" eb="2">
      <t>レイワ</t>
    </rPh>
    <rPh sb="3" eb="4">
      <t>ネン</t>
    </rPh>
    <rPh sb="5" eb="6">
      <t>ガツ</t>
    </rPh>
    <rPh sb="8" eb="9">
      <t>ニチ</t>
    </rPh>
    <rPh sb="9" eb="10">
      <t>ヅケ</t>
    </rPh>
    <phoneticPr fontId="5"/>
  </si>
  <si>
    <t>特定非営利活動法人　自閉症ピアリンクセンターここねっと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ジヘイショウ</t>
    </rPh>
    <phoneticPr fontId="3"/>
  </si>
  <si>
    <t>特定非営利活動法人　自閉症ピアリンクセンターここねっと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ジヘイショウ</t>
    </rPh>
    <phoneticPr fontId="5"/>
  </si>
  <si>
    <t>984-0063</t>
  </si>
  <si>
    <t>仙台市若林区石名坂５７TFMビル2階</t>
    <rPh sb="0" eb="3">
      <t>センダイシ</t>
    </rPh>
    <rPh sb="3" eb="6">
      <t>ワカバヤシク</t>
    </rPh>
    <rPh sb="6" eb="9">
      <t>イシナサカ</t>
    </rPh>
    <rPh sb="17" eb="18">
      <t>カイ</t>
    </rPh>
    <phoneticPr fontId="5"/>
  </si>
  <si>
    <t>理事長　涌澤　圭介</t>
    <rPh sb="0" eb="3">
      <t>リジチョウ</t>
    </rPh>
    <rPh sb="4" eb="6">
      <t>ワクサワ</t>
    </rPh>
    <rPh sb="7" eb="9">
      <t>ケイスケ</t>
    </rPh>
    <phoneticPr fontId="3"/>
  </si>
  <si>
    <t>理事長　涌澤　圭介</t>
    <rPh sb="0" eb="3">
      <t>リジチョウ</t>
    </rPh>
    <rPh sb="4" eb="6">
      <t>ワクサワ</t>
    </rPh>
    <rPh sb="7" eb="9">
      <t>ケイスケ</t>
    </rPh>
    <phoneticPr fontId="5"/>
  </si>
  <si>
    <t>自立訓練</t>
    <rPh sb="0" eb="2">
      <t>ジリツ</t>
    </rPh>
    <rPh sb="2" eb="4">
      <t>クンレン</t>
    </rPh>
    <phoneticPr fontId="3"/>
  </si>
  <si>
    <t>自立訓練</t>
    <rPh sb="0" eb="2">
      <t>ジリツ</t>
    </rPh>
    <rPh sb="2" eb="4">
      <t>クンレン</t>
    </rPh>
    <phoneticPr fontId="5"/>
  </si>
  <si>
    <t>ここねっとステップ</t>
    <phoneticPr fontId="5"/>
  </si>
  <si>
    <t>令和4年6月13日付</t>
    <rPh sb="0" eb="2">
      <t>レイワ</t>
    </rPh>
    <rPh sb="3" eb="4">
      <t>ネン</t>
    </rPh>
    <rPh sb="5" eb="6">
      <t>ガツ</t>
    </rPh>
    <rPh sb="8" eb="9">
      <t>ニチ</t>
    </rPh>
    <rPh sb="9" eb="10">
      <t>ヅケ</t>
    </rPh>
    <phoneticPr fontId="5"/>
  </si>
  <si>
    <t>竹内</t>
    <rPh sb="0" eb="2">
      <t>タケウチ</t>
    </rPh>
    <phoneticPr fontId="5"/>
  </si>
  <si>
    <t>特定非営利活動法人　自閉症ピアリンクセンターここねっと</t>
    <phoneticPr fontId="5"/>
  </si>
  <si>
    <t>984-0063</t>
    <phoneticPr fontId="5"/>
  </si>
  <si>
    <t>ここねっとホーム</t>
    <phoneticPr fontId="5"/>
  </si>
  <si>
    <t>令和4年6月13日付</t>
    <rPh sb="3" eb="4">
      <t>ネン</t>
    </rPh>
    <phoneticPr fontId="5"/>
  </si>
  <si>
    <t>仙台市自閉症相談センター</t>
    <rPh sb="0" eb="3">
      <t>センダイシ</t>
    </rPh>
    <rPh sb="3" eb="6">
      <t>ジヘイショウ</t>
    </rPh>
    <rPh sb="6" eb="8">
      <t>ソウダン</t>
    </rPh>
    <phoneticPr fontId="3"/>
  </si>
  <si>
    <t>仙台市自閉症相談センター</t>
    <rPh sb="0" eb="3">
      <t>センダイシ</t>
    </rPh>
    <rPh sb="3" eb="6">
      <t>ジヘイショウ</t>
    </rPh>
    <rPh sb="6" eb="8">
      <t>ソウダン</t>
    </rPh>
    <phoneticPr fontId="5"/>
  </si>
  <si>
    <t>放課後等デイサービス</t>
    <rPh sb="0" eb="4">
      <t>ホウカゴトウ</t>
    </rPh>
    <phoneticPr fontId="3"/>
  </si>
  <si>
    <t>放課後等デイサービス</t>
    <rPh sb="0" eb="4">
      <t>ホウカゴトウ</t>
    </rPh>
    <phoneticPr fontId="5"/>
  </si>
  <si>
    <t>あゆみ</t>
    <phoneticPr fontId="5"/>
  </si>
  <si>
    <t>令和４年６月11日付</t>
    <rPh sb="0" eb="2">
      <t>レイワ</t>
    </rPh>
    <rPh sb="3" eb="4">
      <t>ネン</t>
    </rPh>
    <rPh sb="5" eb="6">
      <t>ガツ</t>
    </rPh>
    <rPh sb="8" eb="9">
      <t>ニチ</t>
    </rPh>
    <rPh sb="9" eb="10">
      <t>ツ</t>
    </rPh>
    <phoneticPr fontId="5"/>
  </si>
  <si>
    <t>みのり</t>
    <phoneticPr fontId="5"/>
  </si>
  <si>
    <t>めぐみ</t>
    <phoneticPr fontId="5"/>
  </si>
  <si>
    <t>特定非営利活動法人シャロームの会</t>
    <rPh sb="15" eb="16">
      <t>カイ</t>
    </rPh>
    <phoneticPr fontId="3"/>
  </si>
  <si>
    <t>特定非営利活動法人シャロームの会</t>
    <rPh sb="15" eb="16">
      <t>カイ</t>
    </rPh>
    <phoneticPr fontId="5"/>
  </si>
  <si>
    <t>983-0852</t>
    <phoneticPr fontId="5"/>
  </si>
  <si>
    <t>仙台市宮城野区榴岡3丁目９番１５－305号</t>
    <rPh sb="0" eb="3">
      <t>センダイシ</t>
    </rPh>
    <rPh sb="3" eb="7">
      <t>ミヤギノク</t>
    </rPh>
    <rPh sb="7" eb="9">
      <t>ツツジガオカ</t>
    </rPh>
    <rPh sb="10" eb="12">
      <t>チョウメ</t>
    </rPh>
    <rPh sb="13" eb="14">
      <t>バン</t>
    </rPh>
    <rPh sb="20" eb="21">
      <t>ゴウ</t>
    </rPh>
    <phoneticPr fontId="5"/>
  </si>
  <si>
    <t>理事長　菊地　茂</t>
    <rPh sb="4" eb="6">
      <t>キクチ</t>
    </rPh>
    <rPh sb="7" eb="8">
      <t>シゲル</t>
    </rPh>
    <phoneticPr fontId="3"/>
  </si>
  <si>
    <t>理事長　菊地　茂</t>
    <rPh sb="4" eb="6">
      <t>キクチ</t>
    </rPh>
    <rPh sb="7" eb="8">
      <t>シゲル</t>
    </rPh>
    <phoneticPr fontId="5"/>
  </si>
  <si>
    <t>ハーモニー</t>
    <phoneticPr fontId="5"/>
  </si>
  <si>
    <t>令和4年6月10日付</t>
    <phoneticPr fontId="5"/>
  </si>
  <si>
    <t>合同会社B-ダッシュ</t>
    <rPh sb="0" eb="2">
      <t>ゴウドウ</t>
    </rPh>
    <rPh sb="2" eb="4">
      <t>ガイシャ</t>
    </rPh>
    <phoneticPr fontId="3"/>
  </si>
  <si>
    <t>合同会社B-ダッシュ</t>
    <rPh sb="0" eb="2">
      <t>ゴウドウ</t>
    </rPh>
    <rPh sb="2" eb="4">
      <t>ガイシャ</t>
    </rPh>
    <phoneticPr fontId="5"/>
  </si>
  <si>
    <t xml:space="preserve">981-8001 </t>
    <phoneticPr fontId="5"/>
  </si>
  <si>
    <t>仙台市泉区南光台東2丁目46-3号</t>
    <rPh sb="0" eb="3">
      <t>センダイシ</t>
    </rPh>
    <rPh sb="3" eb="5">
      <t>イズミク</t>
    </rPh>
    <rPh sb="5" eb="8">
      <t>ナンコウダイ</t>
    </rPh>
    <rPh sb="8" eb="9">
      <t>ヒガシ</t>
    </rPh>
    <rPh sb="10" eb="12">
      <t>チョウメ</t>
    </rPh>
    <rPh sb="16" eb="17">
      <t>ゴウ</t>
    </rPh>
    <phoneticPr fontId="5"/>
  </si>
  <si>
    <t>代表社員　磯野　敏</t>
    <rPh sb="0" eb="2">
      <t>ダイヒョウ</t>
    </rPh>
    <rPh sb="2" eb="4">
      <t>シャイン</t>
    </rPh>
    <rPh sb="5" eb="7">
      <t>イソノ</t>
    </rPh>
    <rPh sb="8" eb="9">
      <t>サトシ</t>
    </rPh>
    <phoneticPr fontId="3"/>
  </si>
  <si>
    <t>代表社員　磯野　敏</t>
    <rPh sb="0" eb="2">
      <t>ダイヒョウ</t>
    </rPh>
    <rPh sb="2" eb="4">
      <t>シャイン</t>
    </rPh>
    <rPh sb="5" eb="7">
      <t>イソノ</t>
    </rPh>
    <rPh sb="8" eb="9">
      <t>サトシ</t>
    </rPh>
    <phoneticPr fontId="5"/>
  </si>
  <si>
    <t>共同生活援助グループホームノコノコ</t>
    <rPh sb="0" eb="6">
      <t>キョウドウセイカツエンジョ</t>
    </rPh>
    <phoneticPr fontId="3"/>
  </si>
  <si>
    <t>共同生活援助グループホームノコノコ</t>
    <rPh sb="0" eb="6">
      <t>キョウドウセイカツエンジョ</t>
    </rPh>
    <phoneticPr fontId="5"/>
  </si>
  <si>
    <t>令和4年6月9日付</t>
    <phoneticPr fontId="5"/>
  </si>
  <si>
    <t>一般社団法人　未来</t>
    <rPh sb="0" eb="2">
      <t>イッパン</t>
    </rPh>
    <rPh sb="2" eb="4">
      <t>シャダン</t>
    </rPh>
    <rPh sb="4" eb="6">
      <t>ホウジン</t>
    </rPh>
    <rPh sb="7" eb="9">
      <t>ミライ</t>
    </rPh>
    <phoneticPr fontId="3"/>
  </si>
  <si>
    <t>一般社団法人　未来</t>
    <rPh sb="0" eb="2">
      <t>イッパン</t>
    </rPh>
    <rPh sb="2" eb="4">
      <t>シャダン</t>
    </rPh>
    <rPh sb="4" eb="6">
      <t>ホウジン</t>
    </rPh>
    <rPh sb="7" eb="9">
      <t>ミライ</t>
    </rPh>
    <phoneticPr fontId="5"/>
  </si>
  <si>
    <t>989-3211</t>
    <phoneticPr fontId="5"/>
  </si>
  <si>
    <t>仙台市青葉区赤坂２丁目３２番地の１６</t>
    <rPh sb="0" eb="3">
      <t>センダイシ</t>
    </rPh>
    <rPh sb="3" eb="6">
      <t>アオバク</t>
    </rPh>
    <rPh sb="6" eb="8">
      <t>アカサカ</t>
    </rPh>
    <rPh sb="9" eb="11">
      <t>チョウメ</t>
    </rPh>
    <rPh sb="13" eb="15">
      <t>バンチ</t>
    </rPh>
    <phoneticPr fontId="5"/>
  </si>
  <si>
    <t>代表理事　伊藤　奈未</t>
    <rPh sb="0" eb="2">
      <t>ダイヒョウ</t>
    </rPh>
    <rPh sb="2" eb="4">
      <t>リジ</t>
    </rPh>
    <rPh sb="5" eb="7">
      <t>イトウ</t>
    </rPh>
    <rPh sb="8" eb="9">
      <t>ナ</t>
    </rPh>
    <rPh sb="9" eb="10">
      <t>ミ</t>
    </rPh>
    <phoneticPr fontId="3"/>
  </si>
  <si>
    <t>代表理事　伊藤　奈未</t>
    <rPh sb="0" eb="2">
      <t>ダイヒョウ</t>
    </rPh>
    <rPh sb="2" eb="4">
      <t>リジ</t>
    </rPh>
    <rPh sb="5" eb="7">
      <t>イトウ</t>
    </rPh>
    <rPh sb="8" eb="9">
      <t>ナ</t>
    </rPh>
    <rPh sb="9" eb="10">
      <t>ミ</t>
    </rPh>
    <phoneticPr fontId="5"/>
  </si>
  <si>
    <t>相談支援事業所　未来</t>
    <rPh sb="0" eb="2">
      <t>ソウダン</t>
    </rPh>
    <rPh sb="2" eb="4">
      <t>シエン</t>
    </rPh>
    <rPh sb="4" eb="7">
      <t>ジギョウショ</t>
    </rPh>
    <rPh sb="8" eb="10">
      <t>ミライ</t>
    </rPh>
    <phoneticPr fontId="3"/>
  </si>
  <si>
    <t>相談支援事業所　未来</t>
    <rPh sb="0" eb="2">
      <t>ソウダン</t>
    </rPh>
    <rPh sb="2" eb="4">
      <t>シエン</t>
    </rPh>
    <rPh sb="4" eb="7">
      <t>ジギョウショ</t>
    </rPh>
    <rPh sb="8" eb="10">
      <t>ミライ</t>
    </rPh>
    <phoneticPr fontId="5"/>
  </si>
  <si>
    <t>令和4年6月2日付</t>
    <rPh sb="0" eb="2">
      <t>レイワ</t>
    </rPh>
    <rPh sb="3" eb="4">
      <t>ネン</t>
    </rPh>
    <rPh sb="5" eb="6">
      <t>ガツ</t>
    </rPh>
    <rPh sb="7" eb="9">
      <t>ニチヅケ</t>
    </rPh>
    <phoneticPr fontId="5"/>
  </si>
  <si>
    <t>一般社団法人ＩＧＵＮＡＬ</t>
    <rPh sb="0" eb="2">
      <t>イッパン</t>
    </rPh>
    <rPh sb="2" eb="4">
      <t>シャダン</t>
    </rPh>
    <rPh sb="4" eb="6">
      <t>ホウジン</t>
    </rPh>
    <phoneticPr fontId="3"/>
  </si>
  <si>
    <t>一般社団法人ＩＧＵＮＡＬ</t>
    <rPh sb="0" eb="2">
      <t>イッパン</t>
    </rPh>
    <rPh sb="2" eb="4">
      <t>シャダン</t>
    </rPh>
    <rPh sb="4" eb="6">
      <t>ホウジン</t>
    </rPh>
    <phoneticPr fontId="5"/>
  </si>
  <si>
    <t>983-0824</t>
    <phoneticPr fontId="5"/>
  </si>
  <si>
    <t>仙台市宮城野区鶴ケ谷一丁目１１番地８の２</t>
    <rPh sb="0" eb="3">
      <t>センダイシ</t>
    </rPh>
    <rPh sb="3" eb="7">
      <t>ミヤギノク</t>
    </rPh>
    <rPh sb="7" eb="10">
      <t>ツルガヤ</t>
    </rPh>
    <rPh sb="10" eb="13">
      <t>イッチョウメ</t>
    </rPh>
    <rPh sb="15" eb="17">
      <t>バンチ</t>
    </rPh>
    <phoneticPr fontId="5"/>
  </si>
  <si>
    <t>代表理事　福地　慎治</t>
    <rPh sb="0" eb="2">
      <t>ダイヒョウ</t>
    </rPh>
    <rPh sb="2" eb="4">
      <t>リジ</t>
    </rPh>
    <rPh sb="5" eb="7">
      <t>フクチ</t>
    </rPh>
    <rPh sb="8" eb="10">
      <t>シンジ</t>
    </rPh>
    <phoneticPr fontId="3"/>
  </si>
  <si>
    <t>代表理事　福地　慎治</t>
    <rPh sb="0" eb="2">
      <t>ダイヒョウ</t>
    </rPh>
    <rPh sb="2" eb="4">
      <t>リジ</t>
    </rPh>
    <rPh sb="5" eb="7">
      <t>フクチ</t>
    </rPh>
    <rPh sb="8" eb="10">
      <t>シンジ</t>
    </rPh>
    <phoneticPr fontId="5"/>
  </si>
  <si>
    <t>障害者相談支援センター　ゆあらいふ</t>
    <rPh sb="0" eb="3">
      <t>ショウガイシャ</t>
    </rPh>
    <rPh sb="3" eb="5">
      <t>ソウダン</t>
    </rPh>
    <rPh sb="5" eb="7">
      <t>シエン</t>
    </rPh>
    <phoneticPr fontId="3"/>
  </si>
  <si>
    <t>障害者相談支援センター　ゆあらいふ</t>
    <rPh sb="0" eb="3">
      <t>ショウガイシャ</t>
    </rPh>
    <rPh sb="3" eb="5">
      <t>ソウダン</t>
    </rPh>
    <rPh sb="5" eb="7">
      <t>シエン</t>
    </rPh>
    <phoneticPr fontId="5"/>
  </si>
  <si>
    <t>令和4年6月3日付第１号</t>
    <rPh sb="0" eb="2">
      <t>レイワ</t>
    </rPh>
    <rPh sb="3" eb="4">
      <t>ネン</t>
    </rPh>
    <rPh sb="5" eb="6">
      <t>ガツ</t>
    </rPh>
    <rPh sb="7" eb="8">
      <t>ニチ</t>
    </rPh>
    <rPh sb="8" eb="9">
      <t>ヅケ</t>
    </rPh>
    <rPh sb="9" eb="10">
      <t>ダイ</t>
    </rPh>
    <rPh sb="11" eb="12">
      <t>ゴウ</t>
    </rPh>
    <phoneticPr fontId="5"/>
  </si>
  <si>
    <t>リーフラス株式会社</t>
    <phoneticPr fontId="5"/>
  </si>
  <si>
    <t>150-6017</t>
    <phoneticPr fontId="5"/>
  </si>
  <si>
    <t>東京都渋谷区恵比寿4-20-3　恵比寿ガーデンプレイスタワー17階</t>
    <rPh sb="0" eb="3">
      <t>トウキョウト</t>
    </rPh>
    <rPh sb="3" eb="6">
      <t>シブヤク</t>
    </rPh>
    <rPh sb="6" eb="9">
      <t>エビス</t>
    </rPh>
    <rPh sb="16" eb="19">
      <t>エビス</t>
    </rPh>
    <rPh sb="32" eb="33">
      <t>カイ</t>
    </rPh>
    <phoneticPr fontId="5"/>
  </si>
  <si>
    <t>代表取締役　伊藤　清隆</t>
    <rPh sb="0" eb="5">
      <t>ダイヒョウトリシマリヤク</t>
    </rPh>
    <rPh sb="6" eb="8">
      <t>イトウ</t>
    </rPh>
    <rPh sb="9" eb="11">
      <t>キヨタカ</t>
    </rPh>
    <phoneticPr fontId="3"/>
  </si>
  <si>
    <t>代表取締役　伊藤　清隆</t>
    <rPh sb="0" eb="5">
      <t>ダイヒョウトリシマリヤク</t>
    </rPh>
    <rPh sb="6" eb="8">
      <t>イトウ</t>
    </rPh>
    <rPh sb="9" eb="11">
      <t>キヨタカ</t>
    </rPh>
    <phoneticPr fontId="5"/>
  </si>
  <si>
    <t>LEIF東仙台</t>
    <rPh sb="4" eb="5">
      <t>ヒガシ</t>
    </rPh>
    <rPh sb="5" eb="7">
      <t>センダイ</t>
    </rPh>
    <phoneticPr fontId="3"/>
  </si>
  <si>
    <t>LEIF東仙台</t>
    <rPh sb="4" eb="5">
      <t>ヒガシ</t>
    </rPh>
    <rPh sb="5" eb="7">
      <t>センダイ</t>
    </rPh>
    <phoneticPr fontId="5"/>
  </si>
  <si>
    <t>令和4年6月13日付</t>
    <rPh sb="0" eb="2">
      <t>レイワ</t>
    </rPh>
    <rPh sb="3" eb="4">
      <t>ネン</t>
    </rPh>
    <rPh sb="5" eb="6">
      <t>ガツ</t>
    </rPh>
    <rPh sb="8" eb="9">
      <t>ニチ</t>
    </rPh>
    <rPh sb="9" eb="10">
      <t>ツ</t>
    </rPh>
    <phoneticPr fontId="5"/>
  </si>
  <si>
    <t>株式会社ミツイ</t>
    <rPh sb="0" eb="4">
      <t>カブシキガイシャ</t>
    </rPh>
    <phoneticPr fontId="3"/>
  </si>
  <si>
    <t>株式会社ミツイ</t>
    <rPh sb="0" eb="4">
      <t>カブシキガイシャ</t>
    </rPh>
    <phoneticPr fontId="5"/>
  </si>
  <si>
    <t>982-0011</t>
    <phoneticPr fontId="5"/>
  </si>
  <si>
    <t>仙台市太白区長町7-19-39　COMビル101</t>
    <rPh sb="0" eb="3">
      <t>センダイシ</t>
    </rPh>
    <rPh sb="3" eb="6">
      <t>タイハクク</t>
    </rPh>
    <rPh sb="6" eb="8">
      <t>ナガマチ</t>
    </rPh>
    <phoneticPr fontId="5"/>
  </si>
  <si>
    <t>代表取締役　金沢　和樹</t>
    <rPh sb="0" eb="5">
      <t>ダイヒョウトリシマリヤク</t>
    </rPh>
    <rPh sb="6" eb="8">
      <t>カナザワ</t>
    </rPh>
    <rPh sb="9" eb="11">
      <t>カズキ</t>
    </rPh>
    <phoneticPr fontId="3"/>
  </si>
  <si>
    <t>代表取締役　金沢　和樹</t>
    <rPh sb="0" eb="5">
      <t>ダイヒョウトリシマリヤク</t>
    </rPh>
    <rPh sb="6" eb="8">
      <t>カナザワ</t>
    </rPh>
    <rPh sb="9" eb="11">
      <t>カズキ</t>
    </rPh>
    <phoneticPr fontId="5"/>
  </si>
  <si>
    <t>令和4年6月9日付</t>
    <rPh sb="0" eb="2">
      <t>レイワ</t>
    </rPh>
    <rPh sb="3" eb="4">
      <t>ネン</t>
    </rPh>
    <rPh sb="5" eb="6">
      <t>ガツ</t>
    </rPh>
    <rPh sb="7" eb="8">
      <t>ニチ</t>
    </rPh>
    <rPh sb="8" eb="9">
      <t>ツ</t>
    </rPh>
    <phoneticPr fontId="5"/>
  </si>
  <si>
    <t>児童発達支援</t>
    <rPh sb="0" eb="6">
      <t>ジドウハッタツシエン</t>
    </rPh>
    <phoneticPr fontId="3"/>
  </si>
  <si>
    <t>児童発達支援</t>
    <rPh sb="0" eb="6">
      <t>ジドウハッタツシエン</t>
    </rPh>
    <phoneticPr fontId="5"/>
  </si>
  <si>
    <t>リッキーガーデン　長町南</t>
    <rPh sb="11" eb="12">
      <t>ミナミ</t>
    </rPh>
    <phoneticPr fontId="4"/>
  </si>
  <si>
    <t>株式会社　家和楽</t>
    <rPh sb="0" eb="4">
      <t>カブシキガイシャ</t>
    </rPh>
    <rPh sb="5" eb="6">
      <t>イエ</t>
    </rPh>
    <rPh sb="6" eb="7">
      <t>ワ</t>
    </rPh>
    <rPh sb="7" eb="8">
      <t>ラク</t>
    </rPh>
    <phoneticPr fontId="3"/>
  </si>
  <si>
    <t>株式会社　家和楽</t>
    <rPh sb="0" eb="4">
      <t>カブシキガイシャ</t>
    </rPh>
    <rPh sb="5" eb="6">
      <t>イエ</t>
    </rPh>
    <rPh sb="6" eb="7">
      <t>ワ</t>
    </rPh>
    <rPh sb="7" eb="8">
      <t>ラク</t>
    </rPh>
    <phoneticPr fontId="5"/>
  </si>
  <si>
    <t>983-0835</t>
    <phoneticPr fontId="5"/>
  </si>
  <si>
    <t>仙台市宮城野区大梶１３番１９号</t>
    <rPh sb="0" eb="3">
      <t>センダイシ</t>
    </rPh>
    <rPh sb="3" eb="7">
      <t>ミヤギノク</t>
    </rPh>
    <rPh sb="7" eb="9">
      <t>オオカジ</t>
    </rPh>
    <rPh sb="11" eb="12">
      <t>バン</t>
    </rPh>
    <rPh sb="14" eb="15">
      <t>ゴウ</t>
    </rPh>
    <phoneticPr fontId="5"/>
  </si>
  <si>
    <t>代表取締役　木村　靖</t>
    <rPh sb="0" eb="2">
      <t>ダイヒョウ</t>
    </rPh>
    <rPh sb="2" eb="5">
      <t>トリシマリヤク</t>
    </rPh>
    <rPh sb="6" eb="8">
      <t>キムラ</t>
    </rPh>
    <rPh sb="9" eb="10">
      <t>ヤスシ</t>
    </rPh>
    <phoneticPr fontId="3"/>
  </si>
  <si>
    <t>代表取締役　木村　靖</t>
    <rPh sb="0" eb="2">
      <t>ダイヒョウ</t>
    </rPh>
    <rPh sb="2" eb="5">
      <t>トリシマリヤク</t>
    </rPh>
    <rPh sb="6" eb="8">
      <t>キムラ</t>
    </rPh>
    <rPh sb="9" eb="10">
      <t>ヤスシ</t>
    </rPh>
    <phoneticPr fontId="5"/>
  </si>
  <si>
    <t>ヘルパーステーション大空</t>
    <rPh sb="10" eb="12">
      <t>オオゾラ</t>
    </rPh>
    <phoneticPr fontId="3"/>
  </si>
  <si>
    <t>ヘルパーステーション大空</t>
    <rPh sb="10" eb="12">
      <t>オオゾラ</t>
    </rPh>
    <phoneticPr fontId="5"/>
  </si>
  <si>
    <t>令和4年6月5日付</t>
    <rPh sb="0" eb="2">
      <t>レイワ</t>
    </rPh>
    <rPh sb="3" eb="4">
      <t>ネン</t>
    </rPh>
    <rPh sb="5" eb="6">
      <t>ガツ</t>
    </rPh>
    <rPh sb="7" eb="8">
      <t>ニチ</t>
    </rPh>
    <rPh sb="8" eb="9">
      <t>ヅケ</t>
    </rPh>
    <phoneticPr fontId="5"/>
  </si>
  <si>
    <t>特定非営利活動法人　自閉症ピアリンクセンターここねっと</t>
  </si>
  <si>
    <t>グループホームふくろばら</t>
  </si>
  <si>
    <t>令和３年度障害福祉分野のICT導入モデル事業　国庫補助額内々示一覧表</t>
    <rPh sb="27" eb="28">
      <t>ガク</t>
    </rPh>
    <rPh sb="28" eb="29">
      <t>ナイ</t>
    </rPh>
    <rPh sb="31" eb="33">
      <t>イチラン</t>
    </rPh>
    <rPh sb="33" eb="34">
      <t>ヒョウ</t>
    </rPh>
    <phoneticPr fontId="10"/>
  </si>
  <si>
    <t>自治体番号</t>
    <rPh sb="0" eb="3">
      <t>ジチタイ</t>
    </rPh>
    <rPh sb="3" eb="5">
      <t>バンゴウ</t>
    </rPh>
    <phoneticPr fontId="10"/>
  </si>
  <si>
    <t>自治体内通し番号</t>
    <rPh sb="0" eb="3">
      <t>ジチタイ</t>
    </rPh>
    <rPh sb="3" eb="4">
      <t>ウチ</t>
    </rPh>
    <rPh sb="4" eb="5">
      <t>トオ</t>
    </rPh>
    <rPh sb="6" eb="8">
      <t>バンゴウ</t>
    </rPh>
    <phoneticPr fontId="10"/>
  </si>
  <si>
    <t>自治体名</t>
    <rPh sb="0" eb="3">
      <t>ジチタイ</t>
    </rPh>
    <rPh sb="3" eb="4">
      <t>メイ</t>
    </rPh>
    <phoneticPr fontId="9"/>
  </si>
  <si>
    <t>仙台市</t>
  </si>
  <si>
    <t>仙台市</t>
    <rPh sb="0" eb="3">
      <t>センダイシ</t>
    </rPh>
    <phoneticPr fontId="10"/>
  </si>
  <si>
    <t>ｱﾄﾘｴﾌﾞﾄﾞｳﾉｷぶどうの木</t>
  </si>
  <si>
    <t>特定非営利活動法人　ほっぷの森</t>
  </si>
  <si>
    <t>就労支援センター　ほっぷ</t>
  </si>
  <si>
    <t>一般社団法人　未来</t>
  </si>
  <si>
    <t>株式会社　家和楽</t>
  </si>
  <si>
    <t>障害者相談支援センターゆあらいふ</t>
  </si>
  <si>
    <t>リッキー　西多賀</t>
  </si>
  <si>
    <t>リッキー　南仙台</t>
  </si>
  <si>
    <t>リッキー　柳生</t>
  </si>
  <si>
    <t>Rickeyアカデミー　長町南</t>
  </si>
  <si>
    <t>パルクシステム株式会社</t>
    <rPh sb="7" eb="9">
      <t>カブシキ</t>
    </rPh>
    <rPh sb="9" eb="11">
      <t>カイシャ</t>
    </rPh>
    <phoneticPr fontId="3"/>
  </si>
  <si>
    <t>パルクケアサービスセンター</t>
    <phoneticPr fontId="1"/>
  </si>
  <si>
    <t>Rickeyアカデミー　あすと長町</t>
    <rPh sb="15" eb="17">
      <t>ナガマチ</t>
    </rPh>
    <phoneticPr fontId="1"/>
  </si>
  <si>
    <t>Rickeyアカデミー　仙台青葉通</t>
    <rPh sb="12" eb="14">
      <t>センダイ</t>
    </rPh>
    <rPh sb="14" eb="16">
      <t>アオバ</t>
    </rPh>
    <rPh sb="16" eb="17">
      <t>トオ</t>
    </rPh>
    <phoneticPr fontId="1"/>
  </si>
  <si>
    <t>国庫補助基本額【上限100万円】
（事業に要する経費≠総事業費）</t>
    <rPh sb="18" eb="20">
      <t>ジギョウ</t>
    </rPh>
    <rPh sb="21" eb="22">
      <t>ヨウ</t>
    </rPh>
    <rPh sb="24" eb="26">
      <t>ケイヒ</t>
    </rPh>
    <rPh sb="27" eb="31">
      <t>ソウジギョウヒ</t>
    </rPh>
    <phoneticPr fontId="1"/>
  </si>
  <si>
    <t>国庫補助額</t>
    <rPh sb="0" eb="2">
      <t>コッコホジョ2</t>
    </rPh>
    <phoneticPr fontId="1"/>
  </si>
  <si>
    <t>市交付決定額</t>
    <rPh sb="0" eb="1">
      <t>シ</t>
    </rPh>
    <rPh sb="1" eb="3">
      <t>コウフケッテイ2</t>
    </rPh>
    <phoneticPr fontId="1"/>
  </si>
  <si>
    <t>市交付確定額</t>
    <rPh sb="0" eb="1">
      <t>シ</t>
    </rPh>
    <rPh sb="1" eb="3">
      <t>コウフ</t>
    </rPh>
    <rPh sb="3" eb="5">
      <t>カクテイ</t>
    </rPh>
    <rPh sb="5" eb="6">
      <t>ガク</t>
    </rPh>
    <phoneticPr fontId="1"/>
  </si>
  <si>
    <t>実績報告日</t>
    <rPh sb="0" eb="2">
      <t>ジッセキ</t>
    </rPh>
    <rPh sb="2" eb="4">
      <t>ホウコク</t>
    </rPh>
    <rPh sb="4" eb="5">
      <t>ビ</t>
    </rPh>
    <phoneticPr fontId="1"/>
  </si>
  <si>
    <t>補助金返還額</t>
    <rPh sb="0" eb="2">
      <t>ホジョ</t>
    </rPh>
    <rPh sb="2" eb="3">
      <t>キン</t>
    </rPh>
    <rPh sb="3" eb="5">
      <t>ヘンカン</t>
    </rPh>
    <rPh sb="5" eb="6">
      <t>ガク</t>
    </rPh>
    <phoneticPr fontId="1"/>
  </si>
  <si>
    <t>令和４年10月13日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</si>
  <si>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令和５年１月９日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</si>
  <si>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令和4年10月27日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</si>
  <si>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令和5年1月31日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</si>
  <si>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令和4年10月31日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</si>
  <si>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令和4年10月31日</t>
    <phoneticPr fontId="1"/>
  </si>
  <si>
    <t>令和4年12月2日</t>
    <rPh sb="6" eb="7">
      <t>ガツ</t>
    </rPh>
    <rPh sb="8" eb="9">
      <t>ニチ</t>
    </rPh>
    <phoneticPr fontId="1"/>
  </si>
  <si>
    <t>令和4年10月12日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</si>
  <si>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令和4年10月28日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</si>
  <si>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令和4年10月19日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</si>
  <si>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令和4年10月29日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</si>
  <si>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令和4年12月27日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</si>
  <si>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令和5年2月24日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</si>
  <si>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令和4年9月20日</t>
    <rPh sb="5" eb="6">
      <t>ガツ</t>
    </rPh>
    <rPh sb="8" eb="9">
      <t>ニチ</t>
    </rPh>
    <phoneticPr fontId="1"/>
  </si>
  <si>
    <t>令和4年10月11日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</si>
  <si>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確定通知
指令番号</t>
    <rPh sb="0" eb="2">
      <t>カクテイ</t>
    </rPh>
    <rPh sb="2" eb="4">
      <t>ツウチ</t>
    </rPh>
    <rPh sb="5" eb="7">
      <t>シレイ</t>
    </rPh>
    <rPh sb="7" eb="9">
      <t>バンゴウ</t>
    </rPh>
    <phoneticPr fontId="1"/>
  </si>
  <si>
    <t>補助金支出</t>
    <rPh sb="0" eb="3">
      <t>ホジョキン</t>
    </rPh>
    <rPh sb="3" eb="5">
      <t>シシュツ</t>
    </rPh>
    <phoneticPr fontId="1"/>
  </si>
  <si>
    <t>確定払</t>
    <rPh sb="0" eb="2">
      <t>カクテイ</t>
    </rPh>
    <rPh sb="2" eb="3">
      <t>バラ</t>
    </rPh>
    <phoneticPr fontId="1"/>
  </si>
  <si>
    <t>概算払</t>
    <rPh sb="0" eb="2">
      <t>ガイサン</t>
    </rPh>
    <rPh sb="2" eb="3">
      <t>ハラ</t>
    </rPh>
    <phoneticPr fontId="1"/>
  </si>
  <si>
    <t>支出命令日</t>
    <rPh sb="0" eb="2">
      <t>シシュツ</t>
    </rPh>
    <rPh sb="2" eb="4">
      <t>メイレイ</t>
    </rPh>
    <rPh sb="4" eb="5">
      <t>ビ</t>
    </rPh>
    <phoneticPr fontId="1"/>
  </si>
  <si>
    <t>支出命令日2</t>
    <rPh sb="0" eb="2">
      <t>シシュツメイレイ2</t>
    </rPh>
    <phoneticPr fontId="1"/>
  </si>
  <si>
    <t>備考</t>
    <rPh sb="0" eb="2">
      <t>ビコウ</t>
    </rPh>
    <phoneticPr fontId="1"/>
  </si>
  <si>
    <t>就労移行支援</t>
    <phoneticPr fontId="3"/>
  </si>
  <si>
    <t>就労継続支援B型</t>
    <phoneticPr fontId="3"/>
  </si>
  <si>
    <t>就労継続支援A型</t>
    <phoneticPr fontId="3"/>
  </si>
  <si>
    <t>未精算（実績から除外）</t>
    <rPh sb="0" eb="1">
      <t>ミ</t>
    </rPh>
    <rPh sb="1" eb="3">
      <t>セイサン</t>
    </rPh>
    <rPh sb="4" eb="6">
      <t>ジッセキ</t>
    </rPh>
    <rPh sb="8" eb="10">
      <t>ジョガイ</t>
    </rPh>
    <phoneticPr fontId="1"/>
  </si>
  <si>
    <t>社会福祉法人ふれあいの森</t>
    <phoneticPr fontId="1"/>
  </si>
  <si>
    <t>特定非営利活動法人自閉症ピアリンクセンターここねっと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ジヘイショウ</t>
    </rPh>
    <phoneticPr fontId="3"/>
  </si>
  <si>
    <t>一般社団法人未来</t>
    <rPh sb="0" eb="2">
      <t>イッパン</t>
    </rPh>
    <rPh sb="2" eb="4">
      <t>シャダン</t>
    </rPh>
    <rPh sb="4" eb="6">
      <t>ホウジン</t>
    </rPh>
    <rPh sb="6" eb="8">
      <t>ミライ</t>
    </rPh>
    <phoneticPr fontId="3"/>
  </si>
  <si>
    <t>株式会社家和楽</t>
    <rPh sb="0" eb="4">
      <t>カブシキガイシャ</t>
    </rPh>
    <rPh sb="4" eb="5">
      <t>イエ</t>
    </rPh>
    <rPh sb="5" eb="6">
      <t>ワ</t>
    </rPh>
    <rPh sb="6" eb="7">
      <t>ラク</t>
    </rPh>
    <phoneticPr fontId="3"/>
  </si>
  <si>
    <t>年度末までに追給予定</t>
    <rPh sb="0" eb="3">
      <t>ネンドマツ</t>
    </rPh>
    <rPh sb="6" eb="8">
      <t>ツイキュウ</t>
    </rPh>
    <rPh sb="8" eb="10">
      <t>ヨテイ</t>
    </rPh>
    <phoneticPr fontId="1"/>
  </si>
  <si>
    <t>調整</t>
    <rPh sb="0" eb="2">
      <t>チョウセイ</t>
    </rPh>
    <phoneticPr fontId="1"/>
  </si>
  <si>
    <t>割合</t>
    <rPh sb="0" eb="2">
      <t>ワリアイ</t>
    </rPh>
    <phoneticPr fontId="1"/>
  </si>
  <si>
    <t>かけてみた</t>
    <phoneticPr fontId="1"/>
  </si>
  <si>
    <t>ROUND</t>
    <phoneticPr fontId="1"/>
  </si>
  <si>
    <t>交付金充当額</t>
    <rPh sb="0" eb="3">
      <t>コウフキン</t>
    </rPh>
    <rPh sb="3" eb="5">
      <t>ジュウトウ</t>
    </rPh>
    <rPh sb="5" eb="6">
      <t>ガク</t>
    </rPh>
    <phoneticPr fontId="1"/>
  </si>
  <si>
    <t>精算払</t>
    <rPh sb="0" eb="2">
      <t>セイサン</t>
    </rPh>
    <rPh sb="2" eb="3">
      <t>バラ</t>
    </rPh>
    <phoneticPr fontId="1"/>
  </si>
  <si>
    <t>支出命令額</t>
    <rPh sb="0" eb="2">
      <t>シシュツ</t>
    </rPh>
    <rPh sb="2" eb="4">
      <t>メイレイ</t>
    </rPh>
    <rPh sb="4" eb="5">
      <t>ガク</t>
    </rPh>
    <phoneticPr fontId="1"/>
  </si>
  <si>
    <t>精算額</t>
    <rPh sb="0" eb="3">
      <t>セイサンガク</t>
    </rPh>
    <phoneticPr fontId="1"/>
  </si>
  <si>
    <t>精算日
（事業完了年月日）</t>
    <rPh sb="0" eb="2">
      <t>セイサン</t>
    </rPh>
    <rPh sb="2" eb="3">
      <t>ビ</t>
    </rPh>
    <rPh sb="5" eb="7">
      <t>ジギョウ</t>
    </rPh>
    <rPh sb="7" eb="9">
      <t>カンリョウ</t>
    </rPh>
    <rPh sb="9" eb="10">
      <t>ネン</t>
    </rPh>
    <rPh sb="10" eb="12">
      <t>ガッピ</t>
    </rPh>
    <phoneticPr fontId="1"/>
  </si>
  <si>
    <t>追給・戻入予定額</t>
    <rPh sb="0" eb="2">
      <t>ツイキュウ</t>
    </rPh>
    <rPh sb="3" eb="5">
      <t>レイニュウ</t>
    </rPh>
    <rPh sb="5" eb="7">
      <t>ヨテイ</t>
    </rPh>
    <rPh sb="7" eb="8">
      <t>ガク</t>
    </rPh>
    <phoneticPr fontId="1"/>
  </si>
  <si>
    <t>国庫補助額</t>
    <rPh sb="0" eb="2">
      <t>コッコ</t>
    </rPh>
    <rPh sb="2" eb="4">
      <t>ホジョ</t>
    </rPh>
    <rPh sb="4" eb="5">
      <t>ガク</t>
    </rPh>
    <phoneticPr fontId="1"/>
  </si>
  <si>
    <t>合計</t>
    <rPh sb="0" eb="2">
      <t>ゴウケイ</t>
    </rPh>
    <phoneticPr fontId="1"/>
  </si>
  <si>
    <t>追給・戻入予定あり</t>
    <rPh sb="0" eb="2">
      <t>ツイキュウ</t>
    </rPh>
    <rPh sb="3" eb="5">
      <t>レイニュウ</t>
    </rPh>
    <rPh sb="5" eb="7">
      <t>ヨテイ</t>
    </rPh>
    <phoneticPr fontId="1"/>
  </si>
  <si>
    <t>実績報告額</t>
    <rPh sb="0" eb="2">
      <t>ジッセキ</t>
    </rPh>
    <rPh sb="2" eb="4">
      <t>ホウコク</t>
    </rPh>
    <rPh sb="4" eb="5">
      <t>ガク</t>
    </rPh>
    <phoneticPr fontId="1"/>
  </si>
  <si>
    <t>精算中</t>
    <rPh sb="0" eb="2">
      <t>セイサン</t>
    </rPh>
    <rPh sb="2" eb="3">
      <t>チュウ</t>
    </rPh>
    <phoneticPr fontId="1"/>
  </si>
  <si>
    <t>特定非営利活動法人UBUNTU</t>
    <rPh sb="0" eb="9">
      <t>トクテイヒエイリカツドウホウジン</t>
    </rPh>
    <phoneticPr fontId="2"/>
  </si>
  <si>
    <t>社会福祉法人信和会</t>
    <rPh sb="0" eb="6">
      <t>シャカイフクシホウジン</t>
    </rPh>
    <rPh sb="6" eb="9">
      <t>シンワカイ</t>
    </rPh>
    <phoneticPr fontId="2"/>
  </si>
  <si>
    <t>株式会社EGAO</t>
    <rPh sb="0" eb="4">
      <t>カブシキガイシャ</t>
    </rPh>
    <phoneticPr fontId="2"/>
  </si>
  <si>
    <t>合同会社ことのは</t>
    <rPh sb="0" eb="2">
      <t>ゴウドウ</t>
    </rPh>
    <rPh sb="2" eb="4">
      <t>ガイシャ</t>
    </rPh>
    <phoneticPr fontId="2"/>
  </si>
  <si>
    <t>株式会社ささゆう</t>
    <rPh sb="0" eb="4">
      <t>カブシキガイシャ</t>
    </rPh>
    <phoneticPr fontId="2"/>
  </si>
  <si>
    <t>特定非営利活動法人あなたの街の三河やさん</t>
    <rPh sb="0" eb="9">
      <t>トクテイヒエイリカツドウホウジン</t>
    </rPh>
    <rPh sb="13" eb="14">
      <t>マチ</t>
    </rPh>
    <rPh sb="15" eb="17">
      <t>ミカワ</t>
    </rPh>
    <phoneticPr fontId="2"/>
  </si>
  <si>
    <t>imukat 株式会社</t>
    <rPh sb="7" eb="11">
      <t>カブシキガイシャ</t>
    </rPh>
    <phoneticPr fontId="2"/>
  </si>
  <si>
    <t>放課後等デイサービス</t>
    <rPh sb="0" eb="4">
      <t>ホウカゴトウ</t>
    </rPh>
    <phoneticPr fontId="2"/>
  </si>
  <si>
    <t>就労継続支援A型</t>
    <rPh sb="0" eb="6">
      <t>シュウロウケイゾクシエン</t>
    </rPh>
    <rPh sb="7" eb="8">
      <t>ガタ</t>
    </rPh>
    <phoneticPr fontId="2"/>
  </si>
  <si>
    <t>結っ人</t>
    <rPh sb="0" eb="1">
      <t>ムス</t>
    </rPh>
    <rPh sb="2" eb="3">
      <t>ヒト</t>
    </rPh>
    <phoneticPr fontId="2"/>
  </si>
  <si>
    <t>さくら療育園</t>
    <rPh sb="3" eb="6">
      <t>リョウイクエン</t>
    </rPh>
    <phoneticPr fontId="2"/>
  </si>
  <si>
    <t>チルハピ富沢教室</t>
    <rPh sb="4" eb="8">
      <t>トミザワキョウシツ</t>
    </rPh>
    <phoneticPr fontId="2"/>
  </si>
  <si>
    <t>児童発達支援</t>
    <rPh sb="0" eb="6">
      <t>ジドウハッタツシエン</t>
    </rPh>
    <phoneticPr fontId="2"/>
  </si>
  <si>
    <t>チルハピ荒井教室</t>
    <rPh sb="4" eb="6">
      <t>アライ</t>
    </rPh>
    <rPh sb="6" eb="8">
      <t>キョウシツ</t>
    </rPh>
    <phoneticPr fontId="2"/>
  </si>
  <si>
    <t>チルハピスポーツ富沢教室</t>
    <rPh sb="8" eb="12">
      <t>トミザワキョウシツ</t>
    </rPh>
    <phoneticPr fontId="2"/>
  </si>
  <si>
    <t>就労継続支援B型</t>
    <rPh sb="0" eb="6">
      <t>シュウロウケイゾクシエン</t>
    </rPh>
    <rPh sb="7" eb="8">
      <t>ガタ</t>
    </rPh>
    <phoneticPr fontId="2"/>
  </si>
  <si>
    <t>ぶれ・すと</t>
    <phoneticPr fontId="2"/>
  </si>
  <si>
    <t>クローバーズ・ピアワッセ</t>
    <phoneticPr fontId="2"/>
  </si>
  <si>
    <t>ふらっと</t>
    <phoneticPr fontId="2"/>
  </si>
  <si>
    <t>すぴなっち</t>
    <phoneticPr fontId="2"/>
  </si>
  <si>
    <t>imukat Lab.</t>
    <phoneticPr fontId="2"/>
  </si>
  <si>
    <t>https://kotonoha-flat.com/diary-0317/</t>
    <phoneticPr fontId="1"/>
  </si>
  <si>
    <t>https://www.sakura-ryoikuen.com/general-5</t>
    <phoneticPr fontId="1"/>
  </si>
  <si>
    <t>https://hiyoko-group.com/facility/chiruhapiarai/</t>
    <phoneticPr fontId="1"/>
  </si>
  <si>
    <t>https://hiyoko-group.com/facility/chilhapi-tomizawa/</t>
    <phoneticPr fontId="1"/>
  </si>
  <si>
    <t>https://hiyoko-group.com/facility/chiruhapisportstomizawa/</t>
    <phoneticPr fontId="1"/>
  </si>
  <si>
    <t>https://ubuntu-sendai.blogspot.com/2025/02/ict.html</t>
    <phoneticPr fontId="1"/>
  </si>
  <si>
    <t>https://egaoresearch2022.wixsite.com/my-site-5/%E8%A4%87%E8%A3%BD-%E3%82%A2%E3%82%AF%E3%82%BB%E3%82%B9</t>
    <phoneticPr fontId="1"/>
  </si>
  <si>
    <t>https://imukat.me/2024/03/13/r5syougai_ictmodel/</t>
    <phoneticPr fontId="1"/>
  </si>
  <si>
    <t>https://yoshiko-kitamura-3.jimdosite.com/</t>
    <phoneticPr fontId="1"/>
  </si>
  <si>
    <t>https://www.net-pier.org/category5/category9/entry38.html</t>
    <phoneticPr fontId="1"/>
  </si>
  <si>
    <t>導入製品の内容や導入効果等を公表しているHPのURL</t>
    <rPh sb="0" eb="2">
      <t>ドウニュウ</t>
    </rPh>
    <rPh sb="2" eb="4">
      <t>セイヒン</t>
    </rPh>
    <rPh sb="5" eb="7">
      <t>ナイヨウ</t>
    </rPh>
    <rPh sb="8" eb="10">
      <t>ドウニュウ</t>
    </rPh>
    <rPh sb="10" eb="13">
      <t>コウカナド</t>
    </rPh>
    <rPh sb="14" eb="16">
      <t>コウヒョウ</t>
    </rPh>
    <phoneticPr fontId="1"/>
  </si>
  <si>
    <t>株式会社ひよこグループ</t>
    <rPh sb="0" eb="4">
      <t>カブシキガイシャ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</si>
</sst>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76" formatCode="yyyy/m/d\ h:mm;@"/>
    <numFmt numFmtId="177" formatCode="[$-411]ge\.m\.d\ "/>
    <numFmt numFmtId="178" formatCode="#,##0_ "/>
    <numFmt numFmtId="179" formatCode="#,##0&quot;円&quot;"/>
    <numFmt numFmtId="180" formatCode="@\ \ \ &quot;様&quot;"/>
    <numFmt numFmtId="181" formatCode="#,##0\ ;[Red]\-#,##0\ "/>
    <numFmt numFmtId="182" formatCode="\ @"/>
    <numFmt numFmtId="183" formatCode="#,##0&quot;円&quot;\ "/>
    <numFmt numFmtId="184" formatCode="0_);[Red]\(0\)"/>
    <numFmt numFmtId="185" formatCode="[$-411]ggge&quot;年&quot;m&quot;月&quot;d&quot;日&quot;\ "/>
    <numFmt numFmtId="186" formatCode="_ * #,##0.00_ ;_ * \-#,##0.00_ ;_ * &quot;-&quot;_ ;_ @_ "/>
  </numFmts>
  <fonts count="4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name val="游明朝"/>
      <family val="1"/>
      <charset val="128"/>
    </font>
    <font>
      <sz val="10"/>
      <name val="游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3"/>
      <color theme="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22"/>
      <name val="BIZ UDPゴシック"/>
      <family val="3"/>
      <charset val="128"/>
    </font>
    <font>
      <sz val="11"/>
      <name val="BIZ UDPゴシック"/>
      <family val="3"/>
      <charset val="128"/>
    </font>
    <font>
      <sz val="13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b/>
      <sz val="10.5"/>
      <color theme="1"/>
      <name val="BIZ UDPゴシック"/>
      <family val="3"/>
      <charset val="128"/>
    </font>
    <font>
      <sz val="12"/>
      <color theme="8"/>
      <name val="BIZ UDPゴシック"/>
      <family val="3"/>
      <charset val="128"/>
    </font>
    <font>
      <sz val="12"/>
      <color rgb="FFC00000"/>
      <name val="BIZ UDPゴシック"/>
      <family val="3"/>
      <charset val="128"/>
    </font>
    <font>
      <sz val="12"/>
      <color theme="9"/>
      <name val="BIZ UDPゴシック"/>
      <family val="3"/>
      <charset val="128"/>
    </font>
    <font>
      <b/>
      <sz val="12"/>
      <color theme="8"/>
      <name val="BIZ UDPゴシック"/>
      <family val="3"/>
      <charset val="128"/>
    </font>
    <font>
      <sz val="12"/>
      <color rgb="FF00B0F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1"/>
      <name val="游明朝"/>
      <family val="1"/>
      <charset val="128"/>
    </font>
    <font>
      <sz val="12"/>
      <color theme="1"/>
      <name val="BIZ UDPゴシック"/>
      <family val="3"/>
      <charset val="128"/>
    </font>
    <font>
      <sz val="12"/>
      <color indexed="81"/>
      <name val="BIZ UDP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color indexed="8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</font>
    <font>
      <sz val="13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13"/>
      <color rgb="FFFF0000"/>
      <name val="BIZ UDPゴシック"/>
      <family val="3"/>
      <charset val="128"/>
    </font>
    <font>
      <sz val="13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6"/>
      <color theme="1"/>
      <name val="BIZ UDPゴシック"/>
      <family val="3"/>
      <charset val="128"/>
    </font>
    <font>
      <sz val="16"/>
      <name val="BIZ UDP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7">
    <xf numFmtId="0" fontId="0" fillId="0" borderId="0">
      <alignment vertical="center"/>
    </xf>
    <xf numFmtId="0" fontId="4" fillId="0" borderId="0"/>
    <xf numFmtId="0" fontId="9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 wrapText="1"/>
    </xf>
    <xf numFmtId="41" fontId="2" fillId="0" borderId="0" xfId="0" applyNumberFormat="1" applyFont="1">
      <alignment vertical="center"/>
    </xf>
    <xf numFmtId="0" fontId="3" fillId="0" borderId="0" xfId="0" applyFont="1">
      <alignment vertical="center"/>
    </xf>
    <xf numFmtId="22" fontId="3" fillId="0" borderId="0" xfId="0" applyNumberFormat="1" applyFont="1">
      <alignment vertical="center"/>
    </xf>
    <xf numFmtId="58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3" fillId="4" borderId="0" xfId="0" applyFont="1" applyFill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0" fontId="8" fillId="4" borderId="0" xfId="1" applyFont="1" applyFill="1" applyAlignment="1" applyProtection="1">
      <alignment vertical="center" wrapText="1"/>
      <protection locked="0"/>
    </xf>
    <xf numFmtId="0" fontId="11" fillId="0" borderId="0" xfId="2" applyFont="1" applyAlignment="1">
      <alignment horizontal="center" vertical="center" shrinkToFit="1"/>
    </xf>
    <xf numFmtId="0" fontId="14" fillId="0" borderId="0" xfId="2" applyFont="1" applyAlignment="1">
      <alignment vertical="top"/>
    </xf>
    <xf numFmtId="0" fontId="15" fillId="0" borderId="0" xfId="2" applyFont="1" applyAlignment="1">
      <alignment vertical="center" shrinkToFit="1"/>
    </xf>
    <xf numFmtId="0" fontId="14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vertical="center" shrinkToFit="1"/>
    </xf>
    <xf numFmtId="179" fontId="12" fillId="0" borderId="0" xfId="0" applyNumberFormat="1" applyFont="1">
      <alignment vertical="center"/>
    </xf>
    <xf numFmtId="41" fontId="16" fillId="0" borderId="0" xfId="2" applyNumberFormat="1" applyFont="1" applyAlignment="1">
      <alignment horizontal="center" vertical="center" shrinkToFit="1"/>
    </xf>
    <xf numFmtId="0" fontId="16" fillId="0" borderId="0" xfId="2" applyFont="1" applyAlignment="1">
      <alignment horizontal="center" vertical="center" shrinkToFit="1"/>
    </xf>
    <xf numFmtId="0" fontId="16" fillId="0" borderId="0" xfId="2" applyFont="1" applyAlignment="1">
      <alignment vertical="center" shrinkToFit="1"/>
    </xf>
    <xf numFmtId="179" fontId="16" fillId="0" borderId="0" xfId="2" applyNumberFormat="1" applyFont="1" applyAlignment="1">
      <alignment horizontal="center" vertical="center" shrinkToFit="1"/>
    </xf>
    <xf numFmtId="179" fontId="16" fillId="0" borderId="0" xfId="2" applyNumberFormat="1" applyFont="1" applyAlignment="1">
      <alignment vertical="center" shrinkToFit="1"/>
    </xf>
    <xf numFmtId="179" fontId="17" fillId="0" borderId="0" xfId="2" applyNumberFormat="1" applyFont="1" applyAlignment="1">
      <alignment vertical="center" shrinkToFit="1"/>
    </xf>
    <xf numFmtId="0" fontId="18" fillId="2" borderId="0" xfId="2" applyFont="1" applyFill="1" applyAlignment="1">
      <alignment vertical="center" wrapText="1"/>
    </xf>
    <xf numFmtId="0" fontId="18" fillId="0" borderId="0" xfId="2" applyFont="1" applyAlignment="1">
      <alignment vertical="center" wrapText="1"/>
    </xf>
    <xf numFmtId="0" fontId="18" fillId="3" borderId="0" xfId="2" applyFont="1" applyFill="1" applyAlignment="1">
      <alignment vertical="center" wrapText="1"/>
    </xf>
    <xf numFmtId="0" fontId="18" fillId="0" borderId="0" xfId="2" applyFont="1">
      <alignment vertical="center"/>
    </xf>
    <xf numFmtId="0" fontId="18" fillId="5" borderId="0" xfId="2" applyFont="1" applyFill="1" applyAlignment="1">
      <alignment vertical="center" wrapText="1"/>
    </xf>
    <xf numFmtId="41" fontId="18" fillId="0" borderId="0" xfId="2" applyNumberFormat="1" applyFont="1" applyAlignment="1">
      <alignment vertical="center" wrapText="1"/>
    </xf>
    <xf numFmtId="41" fontId="18" fillId="0" borderId="0" xfId="2" applyNumberFormat="1" applyFont="1" applyAlignment="1">
      <alignment vertical="center" shrinkToFit="1"/>
    </xf>
    <xf numFmtId="41" fontId="19" fillId="0" borderId="0" xfId="2" applyNumberFormat="1" applyFont="1" applyAlignment="1">
      <alignment vertical="center" wrapText="1"/>
    </xf>
    <xf numFmtId="0" fontId="18" fillId="6" borderId="0" xfId="2" applyFont="1" applyFill="1" applyAlignment="1">
      <alignment vertical="center" wrapText="1"/>
    </xf>
    <xf numFmtId="0" fontId="20" fillId="0" borderId="0" xfId="2" applyFont="1" applyAlignment="1">
      <alignment vertical="center" shrinkToFit="1"/>
    </xf>
    <xf numFmtId="0" fontId="21" fillId="0" borderId="0" xfId="2" applyFont="1" applyAlignment="1">
      <alignment vertical="center" shrinkToFit="1"/>
    </xf>
    <xf numFmtId="0" fontId="22" fillId="0" borderId="0" xfId="2" applyFont="1" applyAlignment="1">
      <alignment vertical="center" shrinkToFit="1"/>
    </xf>
    <xf numFmtId="41" fontId="20" fillId="0" borderId="0" xfId="2" applyNumberFormat="1" applyFont="1" applyAlignment="1">
      <alignment horizontal="center" vertical="center" shrinkToFit="1"/>
    </xf>
    <xf numFmtId="0" fontId="20" fillId="0" borderId="0" xfId="2" applyFont="1" applyAlignment="1">
      <alignment horizontal="center" vertical="center" shrinkToFit="1"/>
    </xf>
    <xf numFmtId="179" fontId="20" fillId="0" borderId="0" xfId="2" applyNumberFormat="1" applyFont="1" applyAlignment="1">
      <alignment horizontal="center" vertical="center" shrinkToFit="1"/>
    </xf>
    <xf numFmtId="179" fontId="23" fillId="0" borderId="0" xfId="2" applyNumberFormat="1" applyFont="1" applyAlignment="1">
      <alignment vertical="center" shrinkToFit="1"/>
    </xf>
    <xf numFmtId="179" fontId="20" fillId="0" borderId="0" xfId="2" applyNumberFormat="1" applyFont="1" applyAlignment="1">
      <alignment vertical="center" shrinkToFit="1"/>
    </xf>
    <xf numFmtId="41" fontId="22" fillId="0" borderId="0" xfId="2" applyNumberFormat="1" applyFont="1" applyAlignment="1">
      <alignment horizontal="center" vertical="center" shrinkToFit="1"/>
    </xf>
    <xf numFmtId="0" fontId="22" fillId="0" borderId="0" xfId="2" applyFont="1" applyAlignment="1">
      <alignment horizontal="center" vertical="center" shrinkToFit="1"/>
    </xf>
    <xf numFmtId="179" fontId="22" fillId="0" borderId="0" xfId="2" applyNumberFormat="1" applyFont="1" applyAlignment="1">
      <alignment horizontal="center" vertical="center" shrinkToFit="1"/>
    </xf>
    <xf numFmtId="179" fontId="22" fillId="0" borderId="0" xfId="2" applyNumberFormat="1" applyFont="1" applyAlignment="1">
      <alignment vertical="center" shrinkToFit="1"/>
    </xf>
    <xf numFmtId="41" fontId="24" fillId="0" borderId="0" xfId="2" applyNumberFormat="1" applyFont="1" applyAlignment="1">
      <alignment horizontal="center" vertical="center" shrinkToFit="1"/>
    </xf>
    <xf numFmtId="0" fontId="24" fillId="0" borderId="0" xfId="2" applyFont="1" applyAlignment="1">
      <alignment horizontal="center" vertical="center" shrinkToFit="1"/>
    </xf>
    <xf numFmtId="0" fontId="24" fillId="0" borderId="0" xfId="2" applyFont="1" applyAlignment="1">
      <alignment vertical="center" shrinkToFit="1"/>
    </xf>
    <xf numFmtId="179" fontId="24" fillId="0" borderId="0" xfId="2" applyNumberFormat="1" applyFont="1" applyAlignment="1">
      <alignment horizontal="center" vertical="center" shrinkToFit="1"/>
    </xf>
    <xf numFmtId="179" fontId="24" fillId="0" borderId="0" xfId="2" applyNumberFormat="1" applyFont="1" applyAlignment="1">
      <alignment vertical="center" shrinkToFit="1"/>
    </xf>
    <xf numFmtId="41" fontId="25" fillId="0" borderId="0" xfId="2" applyNumberFormat="1" applyFont="1" applyAlignment="1">
      <alignment horizontal="center" vertical="center" shrinkToFit="1"/>
    </xf>
    <xf numFmtId="0" fontId="25" fillId="0" borderId="0" xfId="2" applyFont="1" applyAlignment="1">
      <alignment horizontal="center" vertical="center" shrinkToFit="1"/>
    </xf>
    <xf numFmtId="0" fontId="25" fillId="0" borderId="0" xfId="2" applyFont="1" applyAlignment="1">
      <alignment vertical="center" shrinkToFit="1"/>
    </xf>
    <xf numFmtId="179" fontId="25" fillId="0" borderId="0" xfId="2" applyNumberFormat="1" applyFont="1" applyAlignment="1">
      <alignment horizontal="center" vertical="center" shrinkToFit="1"/>
    </xf>
    <xf numFmtId="179" fontId="25" fillId="0" borderId="0" xfId="2" applyNumberFormat="1" applyFont="1" applyAlignment="1">
      <alignment vertical="center" shrinkToFit="1"/>
    </xf>
    <xf numFmtId="41" fontId="21" fillId="0" borderId="0" xfId="2" applyNumberFormat="1" applyFont="1" applyAlignment="1">
      <alignment horizontal="center" vertical="center" shrinkToFit="1"/>
    </xf>
    <xf numFmtId="0" fontId="21" fillId="0" borderId="0" xfId="2" applyFont="1" applyAlignment="1">
      <alignment horizontal="center" vertical="center" shrinkToFit="1"/>
    </xf>
    <xf numFmtId="179" fontId="21" fillId="0" borderId="0" xfId="2" applyNumberFormat="1" applyFont="1" applyAlignment="1">
      <alignment horizontal="center" vertical="center" shrinkToFit="1"/>
    </xf>
    <xf numFmtId="179" fontId="21" fillId="0" borderId="0" xfId="2" applyNumberFormat="1" applyFont="1" applyAlignment="1">
      <alignment vertical="center" shrinkToFit="1"/>
    </xf>
    <xf numFmtId="0" fontId="26" fillId="0" borderId="0" xfId="1" applyFont="1" applyAlignment="1" applyProtection="1">
      <alignment vertical="center" wrapText="1"/>
      <protection locked="0"/>
    </xf>
    <xf numFmtId="0" fontId="7" fillId="0" borderId="0" xfId="1" applyFont="1" applyAlignment="1" applyProtection="1">
      <alignment vertical="top" wrapText="1" shrinkToFit="1"/>
      <protection locked="0"/>
    </xf>
    <xf numFmtId="41" fontId="27" fillId="0" borderId="0" xfId="0" applyNumberFormat="1" applyFont="1">
      <alignment vertical="center"/>
    </xf>
    <xf numFmtId="58" fontId="18" fillId="0" borderId="0" xfId="2" applyNumberFormat="1" applyFont="1" applyAlignment="1">
      <alignment horizontal="left" vertical="center" wrapText="1"/>
    </xf>
    <xf numFmtId="176" fontId="18" fillId="0" borderId="0" xfId="2" applyNumberFormat="1" applyFont="1" applyAlignment="1">
      <alignment horizontal="left" vertical="center" wrapText="1"/>
    </xf>
    <xf numFmtId="181" fontId="18" fillId="0" borderId="0" xfId="3" applyNumberFormat="1" applyFont="1">
      <alignment vertical="center"/>
    </xf>
    <xf numFmtId="181" fontId="18" fillId="0" borderId="0" xfId="3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41" fontId="18" fillId="0" borderId="0" xfId="0" applyNumberFormat="1" applyFont="1" applyAlignment="1">
      <alignment vertical="center" wrapText="1"/>
    </xf>
    <xf numFmtId="41" fontId="18" fillId="0" borderId="0" xfId="0" applyNumberFormat="1" applyFont="1" applyAlignment="1">
      <alignment vertical="center" shrinkToFit="1"/>
    </xf>
    <xf numFmtId="41" fontId="19" fillId="0" borderId="0" xfId="0" applyNumberFormat="1" applyFont="1" applyAlignment="1">
      <alignment vertical="center" wrapText="1"/>
    </xf>
    <xf numFmtId="181" fontId="18" fillId="0" borderId="0" xfId="0" applyNumberFormat="1" applyFont="1" applyAlignment="1">
      <alignment vertical="center" wrapText="1"/>
    </xf>
    <xf numFmtId="41" fontId="3" fillId="0" borderId="0" xfId="0" applyNumberFormat="1" applyFont="1">
      <alignment vertical="center"/>
    </xf>
    <xf numFmtId="0" fontId="11" fillId="0" borderId="0" xfId="2" applyFont="1" applyAlignment="1">
      <alignment horizontal="center" vertical="center" wrapText="1" shrinkToFit="1"/>
    </xf>
    <xf numFmtId="182" fontId="16" fillId="0" borderId="0" xfId="2" applyNumberFormat="1" applyFont="1" applyAlignment="1">
      <alignment vertical="center" shrinkToFit="1"/>
    </xf>
    <xf numFmtId="179" fontId="27" fillId="0" borderId="0" xfId="0" applyNumberFormat="1" applyFont="1">
      <alignment vertical="center"/>
    </xf>
    <xf numFmtId="179" fontId="31" fillId="0" borderId="0" xfId="2" applyNumberFormat="1" applyFont="1" applyAlignment="1">
      <alignment vertical="center" wrapText="1" shrinkToFit="1"/>
    </xf>
    <xf numFmtId="177" fontId="16" fillId="0" borderId="0" xfId="2" applyNumberFormat="1" applyFont="1" applyAlignment="1">
      <alignment horizontal="right" vertical="center" shrinkToFit="1"/>
    </xf>
    <xf numFmtId="177" fontId="25" fillId="0" borderId="0" xfId="2" applyNumberFormat="1" applyFont="1" applyAlignment="1">
      <alignment horizontal="right" vertical="center" shrinkToFit="1"/>
    </xf>
    <xf numFmtId="41" fontId="32" fillId="0" borderId="0" xfId="2" applyNumberFormat="1" applyFont="1" applyAlignment="1">
      <alignment horizontal="center" vertical="center" shrinkToFit="1"/>
    </xf>
    <xf numFmtId="177" fontId="27" fillId="0" borderId="0" xfId="2" applyNumberFormat="1" applyFont="1" applyAlignment="1">
      <alignment horizontal="right" vertical="center" shrinkToFit="1"/>
    </xf>
    <xf numFmtId="0" fontId="27" fillId="0" borderId="0" xfId="2" applyFont="1" applyAlignment="1">
      <alignment vertical="center" shrinkToFit="1"/>
    </xf>
    <xf numFmtId="0" fontId="33" fillId="0" borderId="1" xfId="4" applyFont="1" applyBorder="1">
      <alignment vertical="center"/>
    </xf>
    <xf numFmtId="0" fontId="34" fillId="0" borderId="1" xfId="4" applyFont="1" applyBorder="1" applyAlignment="1">
      <alignment horizontal="center" vertical="center" shrinkToFit="1"/>
    </xf>
    <xf numFmtId="0" fontId="34" fillId="0" borderId="1" xfId="4" applyFont="1" applyBorder="1" applyAlignment="1">
      <alignment horizontal="center" vertical="center" wrapText="1" shrinkToFit="1"/>
    </xf>
    <xf numFmtId="0" fontId="34" fillId="7" borderId="1" xfId="4" applyFont="1" applyFill="1" applyBorder="1" applyAlignment="1">
      <alignment horizontal="center" vertical="center" wrapText="1" shrinkToFit="1"/>
    </xf>
    <xf numFmtId="0" fontId="33" fillId="0" borderId="1" xfId="4" applyFont="1" applyBorder="1" applyAlignment="1">
      <alignment horizontal="center" vertical="center"/>
    </xf>
    <xf numFmtId="0" fontId="33" fillId="0" borderId="0" xfId="4" applyFont="1">
      <alignment vertical="center"/>
    </xf>
    <xf numFmtId="0" fontId="35" fillId="0" borderId="1" xfId="4" applyFont="1" applyBorder="1" applyAlignment="1">
      <alignment horizontal="left" vertical="center" wrapText="1" shrinkToFit="1"/>
    </xf>
    <xf numFmtId="0" fontId="35" fillId="0" borderId="1" xfId="4" applyFont="1" applyBorder="1" applyAlignment="1">
      <alignment horizontal="center" vertical="center" wrapText="1" shrinkToFit="1"/>
    </xf>
    <xf numFmtId="0" fontId="35" fillId="0" borderId="1" xfId="4" applyFont="1" applyBorder="1" applyAlignment="1">
      <alignment horizontal="left" vertical="center" wrapText="1"/>
    </xf>
    <xf numFmtId="38" fontId="33" fillId="0" borderId="1" xfId="4" applyNumberFormat="1" applyFont="1" applyBorder="1">
      <alignment vertical="center"/>
    </xf>
    <xf numFmtId="179" fontId="33" fillId="0" borderId="1" xfId="4" applyNumberFormat="1" applyFont="1" applyBorder="1">
      <alignment vertical="center"/>
    </xf>
    <xf numFmtId="179" fontId="33" fillId="7" borderId="1" xfId="4" applyNumberFormat="1" applyFont="1" applyFill="1" applyBorder="1">
      <alignment vertical="center"/>
    </xf>
    <xf numFmtId="38" fontId="33" fillId="0" borderId="1" xfId="4" applyNumberFormat="1" applyFont="1" applyBorder="1" applyAlignment="1">
      <alignment vertical="center" wrapText="1"/>
    </xf>
    <xf numFmtId="0" fontId="35" fillId="8" borderId="1" xfId="4" applyFont="1" applyFill="1" applyBorder="1" applyAlignment="1">
      <alignment horizontal="center" vertical="center" wrapText="1" shrinkToFit="1"/>
    </xf>
    <xf numFmtId="0" fontId="35" fillId="8" borderId="1" xfId="4" applyFont="1" applyFill="1" applyBorder="1" applyAlignment="1">
      <alignment horizontal="left" vertical="center" wrapText="1" shrinkToFit="1"/>
    </xf>
    <xf numFmtId="38" fontId="33" fillId="8" borderId="1" xfId="4" applyNumberFormat="1" applyFont="1" applyFill="1" applyBorder="1" applyAlignment="1">
      <alignment vertical="center" wrapText="1"/>
    </xf>
    <xf numFmtId="38" fontId="35" fillId="0" borderId="1" xfId="5" applyFont="1" applyFill="1" applyBorder="1" applyAlignment="1">
      <alignment vertical="center"/>
    </xf>
    <xf numFmtId="179" fontId="35" fillId="0" borderId="1" xfId="5" applyNumberFormat="1" applyFont="1" applyFill="1" applyBorder="1" applyAlignment="1">
      <alignment vertical="center"/>
    </xf>
    <xf numFmtId="179" fontId="35" fillId="7" borderId="1" xfId="5" applyNumberFormat="1" applyFont="1" applyFill="1" applyBorder="1" applyAlignment="1">
      <alignment vertical="center"/>
    </xf>
    <xf numFmtId="38" fontId="33" fillId="0" borderId="1" xfId="5" applyFont="1" applyFill="1" applyBorder="1" applyAlignment="1">
      <alignment vertical="center"/>
    </xf>
    <xf numFmtId="179" fontId="33" fillId="0" borderId="1" xfId="5" applyNumberFormat="1" applyFont="1" applyFill="1" applyBorder="1" applyAlignment="1">
      <alignment vertical="center"/>
    </xf>
    <xf numFmtId="179" fontId="33" fillId="7" borderId="1" xfId="5" applyNumberFormat="1" applyFont="1" applyFill="1" applyBorder="1" applyAlignment="1">
      <alignment vertical="center"/>
    </xf>
    <xf numFmtId="38" fontId="33" fillId="0" borderId="1" xfId="5" applyFont="1" applyFill="1" applyBorder="1" applyAlignment="1">
      <alignment vertical="center" wrapText="1"/>
    </xf>
    <xf numFmtId="38" fontId="35" fillId="0" borderId="1" xfId="5" applyFont="1" applyFill="1" applyBorder="1" applyAlignment="1">
      <alignment vertical="center" wrapText="1"/>
    </xf>
    <xf numFmtId="0" fontId="33" fillId="0" borderId="0" xfId="4" applyFont="1" applyAlignment="1">
      <alignment horizontal="center" vertical="center"/>
    </xf>
    <xf numFmtId="38" fontId="35" fillId="0" borderId="0" xfId="5" applyFont="1" applyFill="1" applyBorder="1" applyAlignment="1">
      <alignment horizontal="left" vertical="center"/>
    </xf>
    <xf numFmtId="38" fontId="35" fillId="0" borderId="0" xfId="5" applyFont="1" applyFill="1" applyBorder="1" applyAlignment="1">
      <alignment horizontal="right" vertical="center"/>
    </xf>
    <xf numFmtId="38" fontId="35" fillId="0" borderId="0" xfId="5" applyFont="1" applyFill="1" applyBorder="1" applyAlignment="1">
      <alignment horizontal="left" vertical="center" wrapText="1"/>
    </xf>
    <xf numFmtId="38" fontId="35" fillId="0" borderId="0" xfId="5" applyFont="1" applyFill="1" applyBorder="1" applyAlignment="1">
      <alignment vertical="center"/>
    </xf>
    <xf numFmtId="179" fontId="36" fillId="0" borderId="0" xfId="5" applyNumberFormat="1" applyFont="1" applyFill="1" applyBorder="1" applyAlignment="1">
      <alignment vertical="center"/>
    </xf>
    <xf numFmtId="38" fontId="35" fillId="0" borderId="0" xfId="5" applyFont="1" applyFill="1" applyBorder="1" applyAlignment="1">
      <alignment vertical="center" wrapText="1"/>
    </xf>
    <xf numFmtId="0" fontId="33" fillId="0" borderId="0" xfId="4" applyFont="1" applyAlignment="1">
      <alignment horizontal="left" vertical="center"/>
    </xf>
    <xf numFmtId="0" fontId="33" fillId="0" borderId="0" xfId="4" applyFont="1" applyAlignment="1">
      <alignment horizontal="left" vertical="center" wrapText="1"/>
    </xf>
    <xf numFmtId="0" fontId="16" fillId="0" borderId="0" xfId="2" applyFont="1">
      <alignment vertical="center"/>
    </xf>
    <xf numFmtId="182" fontId="16" fillId="0" borderId="0" xfId="2" applyNumberFormat="1" applyFont="1">
      <alignment vertical="center"/>
    </xf>
    <xf numFmtId="179" fontId="17" fillId="0" borderId="0" xfId="2" applyNumberFormat="1" applyFont="1" applyAlignment="1">
      <alignment vertical="center" wrapText="1" shrinkToFit="1"/>
    </xf>
    <xf numFmtId="0" fontId="38" fillId="0" borderId="0" xfId="0" applyFont="1">
      <alignment vertical="center"/>
    </xf>
    <xf numFmtId="179" fontId="32" fillId="0" borderId="0" xfId="0" applyNumberFormat="1" applyFont="1" applyAlignment="1">
      <alignment vertical="center" shrinkToFit="1"/>
    </xf>
    <xf numFmtId="183" fontId="17" fillId="0" borderId="0" xfId="2" applyNumberFormat="1" applyFont="1" applyAlignment="1">
      <alignment vertical="center" shrinkToFit="1"/>
    </xf>
    <xf numFmtId="0" fontId="3" fillId="0" borderId="0" xfId="2" applyFont="1" applyAlignment="1">
      <alignment vertical="top"/>
    </xf>
    <xf numFmtId="0" fontId="11" fillId="10" borderId="2" xfId="2" applyFont="1" applyFill="1" applyBorder="1" applyAlignment="1">
      <alignment horizontal="center" vertical="center" shrinkToFit="1"/>
    </xf>
    <xf numFmtId="0" fontId="11" fillId="10" borderId="3" xfId="2" applyFont="1" applyFill="1" applyBorder="1" applyAlignment="1">
      <alignment horizontal="center" vertical="center" shrinkToFit="1"/>
    </xf>
    <xf numFmtId="0" fontId="39" fillId="0" borderId="0" xfId="2" applyFont="1" applyAlignment="1">
      <alignment vertical="center" shrinkToFit="1"/>
    </xf>
    <xf numFmtId="0" fontId="39" fillId="0" borderId="2" xfId="2" applyFont="1" applyBorder="1" applyAlignment="1">
      <alignment vertical="center" shrinkToFit="1"/>
    </xf>
    <xf numFmtId="0" fontId="39" fillId="0" borderId="2" xfId="2" applyFont="1" applyBorder="1" applyAlignment="1">
      <alignment horizontal="center" vertical="center" shrinkToFit="1"/>
    </xf>
    <xf numFmtId="179" fontId="39" fillId="0" borderId="2" xfId="2" applyNumberFormat="1" applyFont="1" applyBorder="1" applyAlignment="1">
      <alignment horizontal="center" vertical="center" shrinkToFit="1"/>
    </xf>
    <xf numFmtId="179" fontId="39" fillId="0" borderId="2" xfId="2" applyNumberFormat="1" applyFont="1" applyBorder="1" applyAlignment="1">
      <alignment vertical="center" shrinkToFit="1"/>
    </xf>
    <xf numFmtId="179" fontId="39" fillId="0" borderId="3" xfId="2" applyNumberFormat="1" applyFont="1" applyBorder="1" applyAlignment="1">
      <alignment vertical="center" shrinkToFit="1"/>
    </xf>
    <xf numFmtId="0" fontId="39" fillId="9" borderId="2" xfId="2" applyFont="1" applyFill="1" applyBorder="1" applyAlignment="1">
      <alignment vertical="center" shrinkToFit="1"/>
    </xf>
    <xf numFmtId="0" fontId="39" fillId="9" borderId="2" xfId="2" applyFont="1" applyFill="1" applyBorder="1" applyAlignment="1">
      <alignment horizontal="center" vertical="center" shrinkToFit="1"/>
    </xf>
    <xf numFmtId="179" fontId="39" fillId="9" borderId="2" xfId="2" applyNumberFormat="1" applyFont="1" applyFill="1" applyBorder="1" applyAlignment="1">
      <alignment horizontal="center" vertical="center" shrinkToFit="1"/>
    </xf>
    <xf numFmtId="179" fontId="39" fillId="9" borderId="2" xfId="2" applyNumberFormat="1" applyFont="1" applyFill="1" applyBorder="1" applyAlignment="1">
      <alignment vertical="center" shrinkToFit="1"/>
    </xf>
    <xf numFmtId="179" fontId="39" fillId="9" borderId="3" xfId="2" applyNumberFormat="1" applyFont="1" applyFill="1" applyBorder="1" applyAlignment="1">
      <alignment vertical="center" shrinkToFit="1"/>
    </xf>
    <xf numFmtId="179" fontId="41" fillId="0" borderId="2" xfId="2" applyNumberFormat="1" applyFont="1" applyBorder="1" applyAlignment="1">
      <alignment horizontal="center" vertical="center" shrinkToFit="1"/>
    </xf>
    <xf numFmtId="179" fontId="41" fillId="0" borderId="2" xfId="2" applyNumberFormat="1" applyFont="1" applyBorder="1" applyAlignment="1">
      <alignment vertical="center" shrinkToFit="1"/>
    </xf>
    <xf numFmtId="179" fontId="41" fillId="9" borderId="2" xfId="2" applyNumberFormat="1" applyFont="1" applyFill="1" applyBorder="1" applyAlignment="1">
      <alignment horizontal="center" vertical="center" shrinkToFit="1"/>
    </xf>
    <xf numFmtId="179" fontId="41" fillId="9" borderId="2" xfId="2" applyNumberFormat="1" applyFont="1" applyFill="1" applyBorder="1" applyAlignment="1">
      <alignment vertical="center" shrinkToFit="1"/>
    </xf>
    <xf numFmtId="0" fontId="39" fillId="0" borderId="4" xfId="2" applyFont="1" applyBorder="1" applyAlignment="1">
      <alignment vertical="center" shrinkToFit="1"/>
    </xf>
    <xf numFmtId="0" fontId="39" fillId="0" borderId="4" xfId="2" applyFont="1" applyBorder="1" applyAlignment="1">
      <alignment horizontal="center" vertical="center" shrinkToFit="1"/>
    </xf>
    <xf numFmtId="179" fontId="41" fillId="0" borderId="4" xfId="2" applyNumberFormat="1" applyFont="1" applyBorder="1" applyAlignment="1">
      <alignment horizontal="center" vertical="center" shrinkToFit="1"/>
    </xf>
    <xf numFmtId="179" fontId="42" fillId="0" borderId="4" xfId="2" applyNumberFormat="1" applyFont="1" applyBorder="1" applyAlignment="1">
      <alignment vertical="center" shrinkToFit="1"/>
    </xf>
    <xf numFmtId="179" fontId="39" fillId="0" borderId="5" xfId="2" applyNumberFormat="1" applyFont="1" applyBorder="1" applyAlignment="1">
      <alignment vertical="center" shrinkToFit="1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 shrinkToFit="1"/>
    </xf>
    <xf numFmtId="179" fontId="12" fillId="0" borderId="0" xfId="2" applyNumberFormat="1" applyFont="1">
      <alignment vertical="center"/>
    </xf>
    <xf numFmtId="183" fontId="31" fillId="0" borderId="0" xfId="2" applyNumberFormat="1" applyFont="1" applyAlignment="1">
      <alignment vertical="center" shrinkToFit="1"/>
    </xf>
    <xf numFmtId="49" fontId="17" fillId="0" borderId="0" xfId="2" applyNumberFormat="1" applyFont="1" applyAlignment="1">
      <alignment vertical="center" shrinkToFit="1"/>
    </xf>
    <xf numFmtId="38" fontId="17" fillId="0" borderId="0" xfId="3" applyFont="1" applyFill="1">
      <alignment vertical="center"/>
    </xf>
    <xf numFmtId="184" fontId="17" fillId="0" borderId="0" xfId="2" applyNumberFormat="1" applyFont="1" applyAlignment="1">
      <alignment vertical="center" shrinkToFit="1"/>
    </xf>
    <xf numFmtId="185" fontId="2" fillId="0" borderId="0" xfId="0" applyNumberFormat="1" applyFont="1">
      <alignment vertical="center"/>
    </xf>
    <xf numFmtId="41" fontId="43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 shrinkToFit="1"/>
    </xf>
    <xf numFmtId="41" fontId="2" fillId="0" borderId="0" xfId="0" applyNumberFormat="1" applyFont="1" applyAlignment="1">
      <alignment horizontal="center" vertical="center"/>
    </xf>
    <xf numFmtId="186" fontId="2" fillId="0" borderId="0" xfId="0" applyNumberFormat="1" applyFont="1">
      <alignment vertical="center"/>
    </xf>
    <xf numFmtId="0" fontId="45" fillId="0" borderId="0" xfId="0" applyFont="1">
      <alignment vertical="center"/>
    </xf>
    <xf numFmtId="41" fontId="45" fillId="0" borderId="0" xfId="0" applyNumberFormat="1" applyFont="1">
      <alignment vertical="center"/>
    </xf>
    <xf numFmtId="0" fontId="45" fillId="0" borderId="0" xfId="0" applyFont="1" applyAlignment="1">
      <alignment horizontal="center" vertical="center"/>
    </xf>
    <xf numFmtId="41" fontId="44" fillId="0" borderId="0" xfId="0" applyNumberFormat="1" applyFont="1">
      <alignment vertical="center"/>
    </xf>
    <xf numFmtId="41" fontId="44" fillId="0" borderId="0" xfId="0" applyNumberFormat="1" applyFont="1" applyAlignment="1">
      <alignment horizontal="center" vertical="center"/>
    </xf>
    <xf numFmtId="41" fontId="45" fillId="0" borderId="1" xfId="0" applyNumberFormat="1" applyFont="1" applyBorder="1">
      <alignment vertical="center"/>
    </xf>
    <xf numFmtId="0" fontId="45" fillId="0" borderId="1" xfId="0" applyFont="1" applyBorder="1" applyAlignment="1">
      <alignment horizontal="center" vertical="center"/>
    </xf>
    <xf numFmtId="41" fontId="44" fillId="0" borderId="1" xfId="0" applyNumberFormat="1" applyFont="1" applyBorder="1">
      <alignment vertical="center"/>
    </xf>
    <xf numFmtId="177" fontId="45" fillId="0" borderId="1" xfId="0" applyNumberFormat="1" applyFont="1" applyBorder="1" applyAlignment="1">
      <alignment horizontal="center" vertical="center"/>
    </xf>
    <xf numFmtId="0" fontId="44" fillId="11" borderId="1" xfId="0" applyFont="1" applyFill="1" applyBorder="1" applyAlignment="1">
      <alignment horizontal="center" vertical="center"/>
    </xf>
    <xf numFmtId="0" fontId="44" fillId="11" borderId="1" xfId="0" applyFont="1" applyFill="1" applyBorder="1" applyAlignment="1">
      <alignment horizontal="center" vertical="center" wrapText="1"/>
    </xf>
    <xf numFmtId="41" fontId="43" fillId="0" borderId="1" xfId="0" applyNumberFormat="1" applyFont="1" applyBorder="1">
      <alignment vertical="center"/>
    </xf>
    <xf numFmtId="0" fontId="47" fillId="8" borderId="1" xfId="0" applyFont="1" applyFill="1" applyBorder="1" applyAlignment="1">
      <alignment horizontal="left" vertical="center" wrapText="1"/>
    </xf>
    <xf numFmtId="0" fontId="48" fillId="11" borderId="1" xfId="0" applyFont="1" applyFill="1" applyBorder="1" applyAlignment="1">
      <alignment horizontal="center" vertical="center"/>
    </xf>
    <xf numFmtId="0" fontId="48" fillId="12" borderId="1" xfId="0" applyFont="1" applyFill="1" applyBorder="1" applyAlignment="1">
      <alignment horizontal="center" vertical="center" wrapText="1"/>
    </xf>
    <xf numFmtId="0" fontId="48" fillId="0" borderId="0" xfId="0" applyFont="1">
      <alignment vertical="center"/>
    </xf>
    <xf numFmtId="41" fontId="48" fillId="8" borderId="1" xfId="0" applyNumberFormat="1" applyFont="1" applyFill="1" applyBorder="1">
      <alignment vertical="center"/>
    </xf>
    <xf numFmtId="0" fontId="48" fillId="8" borderId="0" xfId="0" applyFont="1" applyFill="1">
      <alignment vertical="center"/>
    </xf>
    <xf numFmtId="41" fontId="16" fillId="0" borderId="0" xfId="0" applyNumberFormat="1" applyFont="1" applyAlignment="1">
      <alignment horizontal="center" vertical="center"/>
    </xf>
    <xf numFmtId="41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46" fillId="8" borderId="1" xfId="6" applyFill="1" applyBorder="1" applyAlignment="1">
      <alignment vertical="center" wrapText="1"/>
    </xf>
    <xf numFmtId="41" fontId="46" fillId="8" borderId="1" xfId="6" applyNumberFormat="1" applyFill="1" applyBorder="1" applyAlignment="1">
      <alignment vertical="center" wrapText="1"/>
    </xf>
    <xf numFmtId="177" fontId="45" fillId="0" borderId="6" xfId="0" applyNumberFormat="1" applyFont="1" applyBorder="1" applyAlignment="1">
      <alignment horizontal="center" vertical="center"/>
    </xf>
    <xf numFmtId="177" fontId="45" fillId="0" borderId="7" xfId="0" applyNumberFormat="1" applyFont="1" applyBorder="1" applyAlignment="1">
      <alignment horizontal="center" vertical="center"/>
    </xf>
    <xf numFmtId="177" fontId="45" fillId="0" borderId="8" xfId="0" applyNumberFormat="1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41" fontId="45" fillId="0" borderId="9" xfId="0" applyNumberFormat="1" applyFont="1" applyBorder="1" applyAlignment="1">
      <alignment horizontal="center" vertical="center"/>
    </xf>
    <xf numFmtId="41" fontId="45" fillId="0" borderId="10" xfId="0" applyNumberFormat="1" applyFont="1" applyBorder="1" applyAlignment="1">
      <alignment horizontal="center" vertical="center"/>
    </xf>
    <xf numFmtId="41" fontId="45" fillId="0" borderId="11" xfId="0" applyNumberFormat="1" applyFont="1" applyBorder="1" applyAlignment="1">
      <alignment horizontal="center" vertical="center"/>
    </xf>
    <xf numFmtId="0" fontId="40" fillId="0" borderId="0" xfId="2" applyFont="1" applyAlignment="1">
      <alignment horizontal="center" vertical="top"/>
    </xf>
    <xf numFmtId="0" fontId="13" fillId="0" borderId="0" xfId="2" applyFont="1" applyAlignment="1">
      <alignment horizontal="center" vertical="top"/>
    </xf>
    <xf numFmtId="0" fontId="7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vertical="center" wrapText="1"/>
      <protection locked="0"/>
    </xf>
    <xf numFmtId="0" fontId="7" fillId="0" borderId="0" xfId="1" applyFont="1" applyAlignment="1" applyProtection="1">
      <alignment horizontal="left" vertical="center" wrapText="1"/>
      <protection locked="0"/>
    </xf>
    <xf numFmtId="0" fontId="7" fillId="0" borderId="0" xfId="1" applyFont="1" applyAlignment="1" applyProtection="1">
      <alignment horizontal="distributed" vertical="center" wrapText="1" justifyLastLine="1"/>
      <protection locked="0"/>
    </xf>
    <xf numFmtId="58" fontId="7" fillId="0" borderId="0" xfId="1" applyNumberFormat="1" applyFont="1" applyAlignment="1" applyProtection="1">
      <alignment horizontal="distributed" vertical="center" wrapText="1" justifyLastLine="1"/>
      <protection locked="0"/>
    </xf>
    <xf numFmtId="180" fontId="7" fillId="0" borderId="0" xfId="1" applyNumberFormat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left" vertical="top" shrinkToFit="1"/>
      <protection locked="0"/>
    </xf>
    <xf numFmtId="0" fontId="7" fillId="0" borderId="0" xfId="1" applyFont="1" applyAlignment="1" applyProtection="1">
      <alignment vertical="top" wrapText="1"/>
      <protection locked="0"/>
    </xf>
    <xf numFmtId="179" fontId="7" fillId="0" borderId="0" xfId="1" applyNumberFormat="1" applyFont="1" applyAlignment="1" applyProtection="1">
      <alignment horizontal="left" vertical="center" wrapText="1"/>
      <protection locked="0"/>
    </xf>
    <xf numFmtId="0" fontId="7" fillId="0" borderId="0" xfId="1" applyFont="1" applyAlignment="1" applyProtection="1">
      <alignment horizontal="right" vertical="center" wrapText="1"/>
      <protection locked="0"/>
    </xf>
    <xf numFmtId="58" fontId="7" fillId="0" borderId="0" xfId="1" applyNumberFormat="1" applyFont="1" applyAlignment="1" applyProtection="1">
      <alignment horizontal="right" vertical="center" wrapText="1"/>
      <protection locked="0"/>
    </xf>
    <xf numFmtId="178" fontId="7" fillId="0" borderId="0" xfId="1" applyNumberFormat="1" applyFont="1" applyAlignment="1" applyProtection="1">
      <alignment vertical="center" wrapText="1"/>
      <protection locked="0"/>
    </xf>
  </cellXfs>
  <cellStyles count="7">
    <cellStyle name="ハイパーリンク" xfId="6" builtinId="8"/>
    <cellStyle name="桁区切り" xfId="3" builtinId="6"/>
    <cellStyle name="桁区切り 2" xfId="5" xr:uid="{00000000-0005-0000-0000-000002000000}"/>
    <cellStyle name="標準" xfId="0" builtinId="0"/>
    <cellStyle name="標準 2" xfId="1" xr:uid="{00000000-0005-0000-0000-000004000000}"/>
    <cellStyle name="標準 3" xfId="2" xr:uid="{00000000-0005-0000-0000-000005000000}"/>
    <cellStyle name="標準 4" xfId="4" xr:uid="{00000000-0005-0000-0000-000006000000}"/>
  </cellStyles>
  <dxfs count="51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177" formatCode="[$-411]ge\.m\.d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176" formatCode="yyyy/m/d\ h:mm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IZ UDPゴシック"/>
        <scheme val="none"/>
      </font>
      <numFmt numFmtId="179" formatCode="#,##0&quot;円&quot;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name val="BIZ UDP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BIZ UDP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181" formatCode="#,##0\ ;[Red]\-#,##0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181" formatCode="#,##0\ ;[Red]\-#,##0\ 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181" formatCode="#,##0\ ;[Red]\-#,##0\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45" formatCode="[$-411]ggge&quot;年&quot;m&quot;月&quot;d&quot;日&quot;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176" formatCode="yyyy/m/d\ h:mm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numFmt numFmtId="0" formatCode="General"/>
      <alignment horizontal="general" vertical="center" textRotation="0" wrapText="1" indent="0" justifyLastLine="0" shrinkToFit="0" readingOrder="0"/>
    </dxf>
    <dxf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BIZ UDP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BIZ UDP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179" formatCode="#,##0&quot;円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179" formatCode="#,##0&quot;円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179" formatCode="#,##0&quot;円&quot;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179" formatCode="#,##0&quot;円&quot;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179" formatCode="#,##0&quot;円&quot;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82" formatCode="\ 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rgb="FFFF0000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7" formatCode="[$-411]ge\.m\.d\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BIZ UDP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179" formatCode="#,##0&quot;円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179" formatCode="#,##0&quot;円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179" formatCode="#,##0&quot;円&quot;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179" formatCode="#,##0&quot;円&quot;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179" formatCode="#,##0&quot;円&quot;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82" formatCode="\ 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rgb="FFFF0000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7" formatCode="[$-411]ge\.m\.d\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BIZ UDP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/>
        <bottom/>
      </border>
      <protection locked="1" hidden="0"/>
    </dxf>
    <dxf>
      <font>
        <b/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/>
        <bottom/>
      </border>
      <protection locked="1" hidden="0"/>
    </dxf>
    <dxf>
      <font>
        <b/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82" formatCode="\ 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7" formatCode="[$-411]ge\.m\.d\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none"/>
      </font>
    </dxf>
    <dxf>
      <font>
        <strike val="0"/>
        <outline val="0"/>
        <shadow val="0"/>
        <u val="none"/>
        <vertAlign val="baseline"/>
        <sz val="12"/>
        <color theme="0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0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BIZ UDP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BIZ UDP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9" formatCode="#,##0&quot;円&quot;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BIZ UDP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9" formatCode="#,##0&quot;円&quot;"/>
      <fill>
        <patternFill patternType="none">
          <fgColor rgb="FF000000"/>
          <bgColor auto="1"/>
        </patternFill>
      </fill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/>
        <bottom/>
      </border>
      <protection locked="1" hidden="0"/>
    </dxf>
    <dxf>
      <font>
        <b/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/>
        <top/>
        <bottom/>
      </border>
      <protection locked="1" hidden="0"/>
    </dxf>
    <dxf>
      <font>
        <b/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9" formatCode="#,##0&quot;円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82" formatCode="\ 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177" formatCode="[$-411]ge\.m\.d\ 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none"/>
      </font>
    </dxf>
    <dxf>
      <font>
        <strike val="0"/>
        <outline val="0"/>
        <shadow val="0"/>
        <u val="none"/>
        <vertAlign val="baseline"/>
        <sz val="12"/>
        <color theme="0"/>
        <name val="BIZ UDPゴシック"/>
        <scheme val="none"/>
      </font>
      <numFmt numFmtId="33" formatCode="_ * #,##0_ ;_ * \-#,##0_ ;_ * &quot;-&quot;_ ;_ @_ 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rgb="FFFFFFFF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auto="1"/>
        <name val="BIZ UDPゴシック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BIZ UDP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185" formatCode="[$-411]ggge&quot;年&quot;m&quot;月&quot;d&quot;日&quot;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177" formatCode="[$-411]ge\.m\.d\ "/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177" formatCode="[$-411]ge\.m\.d\ "/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177" formatCode="[$-411]ge\.m\.d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177" formatCode="[$-411]ge\.m\.d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185" formatCode="[$-411]ggge&quot;年&quot;m&quot;月&quot;d&quot;日&quot;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177" formatCode="[$-411]ge\.m\.d\ "/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177" formatCode="[$-411]ge\.m\.d\ "/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177" formatCode="[$-411]ge\.m\.d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177" formatCode="[$-411]ge\.m\.d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BIZ UDPゴシック"/>
        <scheme val="none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0"/>
        <color rgb="FF000000"/>
        <name val="BIZ UDPゴシック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BIZ UDP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7C80"/>
      <color rgb="FFFF66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381000</xdr:colOff>
      <xdr:row>18</xdr:row>
      <xdr:rowOff>333375</xdr:rowOff>
    </xdr:from>
    <xdr:to>
      <xdr:col>21</xdr:col>
      <xdr:colOff>508000</xdr:colOff>
      <xdr:row>23</xdr:row>
      <xdr:rowOff>206375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5923875" y="7397750"/>
          <a:ext cx="2857500" cy="177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＜メモ＞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Rickey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アカデミーあすと長町、仙台青葉通は移行と同一事業所として申請、パルクケアは事業実施なし。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603250</xdr:colOff>
      <xdr:row>40</xdr:row>
      <xdr:rowOff>15875</xdr:rowOff>
    </xdr:from>
    <xdr:to>
      <xdr:col>11</xdr:col>
      <xdr:colOff>412750</xdr:colOff>
      <xdr:row>46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8300700" y="20599400"/>
          <a:ext cx="5257800" cy="1108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＜メモ＞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Rickey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アカデミーあすと長町、仙台青葉通は移行と同一事業所として申請、パルクケアは事業実施なし。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603250</xdr:colOff>
      <xdr:row>55</xdr:row>
      <xdr:rowOff>15875</xdr:rowOff>
    </xdr:from>
    <xdr:to>
      <xdr:col>12</xdr:col>
      <xdr:colOff>412750</xdr:colOff>
      <xdr:row>61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1574125" y="20605750"/>
          <a:ext cx="4857750" cy="1127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＜メモ＞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Rickey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アカデミーあすと長町、仙台青葉通は移行と同一事業所として申請、パルクケアは事業実施なし。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133350</xdr:colOff>
      <xdr:row>9</xdr:row>
      <xdr:rowOff>142875</xdr:rowOff>
    </xdr:from>
    <xdr:to>
      <xdr:col>48</xdr:col>
      <xdr:colOff>1123950</xdr:colOff>
      <xdr:row>11</xdr:row>
      <xdr:rowOff>361950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6677025" y="2228850"/>
          <a:ext cx="175260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多分、普通に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Word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の差し込み印刷した方が早い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テーブル2567891011" displayName="テーブル2567891011" ref="A1:Q48" totalsRowCount="1" headerRowDxfId="515" dataDxfId="514" totalsRowDxfId="513">
  <autoFilter ref="A1:Q47" xr:uid="{00000000-0009-0000-0100-00000A000000}"/>
  <sortState xmlns:xlrd2="http://schemas.microsoft.com/office/spreadsheetml/2017/richdata2" ref="A2:Q47">
    <sortCondition ref="M1:M47"/>
  </sortState>
  <tableColumns count="17">
    <tableColumn id="1" xr3:uid="{00000000-0010-0000-0000-000001000000}" name="№" dataDxfId="512" totalsRowDxfId="511"/>
    <tableColumn id="2" xr3:uid="{00000000-0010-0000-0000-000002000000}" name="申請日" dataDxfId="510" totalsRowDxfId="509"/>
    <tableColumn id="3" xr3:uid="{00000000-0010-0000-0000-000003000000}" name="法人名" dataDxfId="508" totalsRowDxfId="507"/>
    <tableColumn id="10" xr3:uid="{00000000-0010-0000-0000-00000A000000}" name="代表者名" dataDxfId="506" totalsRowDxfId="505"/>
    <tableColumn id="4" xr3:uid="{00000000-0010-0000-0000-000004000000}" name="事業所名" dataDxfId="504" totalsRowDxfId="503"/>
    <tableColumn id="5" xr3:uid="{00000000-0010-0000-0000-000005000000}" name="主な提供サービス" dataDxfId="502" totalsRowDxfId="501"/>
    <tableColumn id="9" xr3:uid="{00000000-0010-0000-0000-000009000000}" name="申請額" dataDxfId="500" totalsRowDxfId="499"/>
    <tableColumn id="18" xr3:uid="{00000000-0010-0000-0000-000012000000}" name="市交付決定額" totalsRowFunction="sum" dataDxfId="498" totalsRowDxfId="497"/>
    <tableColumn id="19" xr3:uid="{00000000-0010-0000-0000-000013000000}" name="市交付確定額" totalsRowFunction="sum" dataDxfId="496" totalsRowDxfId="495"/>
    <tableColumn id="15" xr3:uid="{00000000-0010-0000-0000-00000F000000}" name="国庫補助額" totalsRowFunction="sum" dataDxfId="494" totalsRowDxfId="493">
      <calculatedColumnFormula>ROUNDDOWN(PRODUCT(テーブル2567891011[[#This Row],[市交付確定額]],2)/3,-3)</calculatedColumnFormula>
    </tableColumn>
    <tableColumn id="7" xr3:uid="{00000000-0010-0000-0000-000007000000}" name="補助金返還額" totalsRowFunction="sum" dataDxfId="492" totalsRowDxfId="491">
      <calculatedColumnFormula>IF(テーブル2567891011[[#This Row],[補助金支出]]="確定払","",テーブル2567891011[[#This Row],[市交付決定額]]-テーブル2567891011[[#This Row],[市交付確定額]])</calculatedColumnFormula>
    </tableColumn>
    <tableColumn id="11" xr3:uid="{00000000-0010-0000-0000-00000B000000}" name="補助金支出" dataDxfId="490" totalsRowDxfId="489"/>
    <tableColumn id="8" xr3:uid="{00000000-0010-0000-0000-000008000000}" name="支出命令日" dataDxfId="488" totalsRowDxfId="487"/>
    <tableColumn id="12" xr3:uid="{00000000-0010-0000-0000-00000C000000}" name="支出命令日2" dataDxfId="486" totalsRowDxfId="485"/>
    <tableColumn id="13" xr3:uid="{00000000-0010-0000-0000-00000D000000}" name="備考" dataDxfId="484" totalsRowDxfId="483"/>
    <tableColumn id="6" xr3:uid="{00000000-0010-0000-0000-000006000000}" name="実績報告日" dataDxfId="482" totalsRowDxfId="481"/>
    <tableColumn id="20" xr3:uid="{00000000-0010-0000-0000-000014000000}" name="確定通知_x000a_指令番号" dataDxfId="480" totalsRowDxfId="479"/>
  </tableColumns>
  <tableStyleInfo name="TableStyleLight6"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9000000}" name="テーブル1" displayName="テーブル1" ref="B2:BR11" totalsRowCount="1" headerRowDxfId="140" dataDxfId="139">
  <autoFilter ref="B2:BR10" xr:uid="{00000000-0009-0000-0100-000001000000}"/>
  <tableColumns count="69">
    <tableColumn id="1" xr3:uid="{00000000-0010-0000-0900-000001000000}" name="番号" totalsRowLabel="集計" dataDxfId="138" totalsRowDxfId="137">
      <calculatedColumnFormula>IF(原本!A3="","",原本!A3)</calculatedColumnFormula>
    </tableColumn>
    <tableColumn id="2" xr3:uid="{00000000-0010-0000-0900-000002000000}" name="到達番号" dataDxfId="136" totalsRowDxfId="135">
      <calculatedColumnFormula>IF(原本!B3="","",原本!B3)</calculatedColumnFormula>
    </tableColumn>
    <tableColumn id="3" xr3:uid="{00000000-0010-0000-0900-000003000000}" name="到達日時" dataDxfId="134" totalsRowDxfId="133">
      <calculatedColumnFormula>IF(原本!C3="","",原本!C3)</calculatedColumnFormula>
    </tableColumn>
    <tableColumn id="4" xr3:uid="{00000000-0010-0000-0900-000004000000}" name="状態" dataDxfId="132" totalsRowDxfId="131">
      <calculatedColumnFormula>IF(原本!D3="","",原本!D3)</calculatedColumnFormula>
    </tableColumn>
    <tableColumn id="5" xr3:uid="{00000000-0010-0000-0900-000005000000}" name="申込方法" dataDxfId="130" totalsRowDxfId="129">
      <calculatedColumnFormula>IF(原本!E3="","",原本!E3)</calculatedColumnFormula>
    </tableColumn>
    <tableColumn id="6" xr3:uid="{00000000-0010-0000-0900-000006000000}" name="抽選結果" dataDxfId="128" totalsRowDxfId="127">
      <calculatedColumnFormula>IF(原本!F3="","",原本!F3)</calculatedColumnFormula>
    </tableColumn>
    <tableColumn id="7" xr3:uid="{00000000-0010-0000-0900-000007000000}" name="申請日" dataDxfId="126" totalsRowDxfId="125">
      <calculatedColumnFormula>IF(原本!G3="","",原本!G3)</calculatedColumnFormula>
    </tableColumn>
    <tableColumn id="8" xr3:uid="{00000000-0010-0000-0900-000008000000}" name="団体・法人名" dataDxfId="124" totalsRowDxfId="123">
      <calculatedColumnFormula>IF(原本!H3="","",原本!H3)</calculatedColumnFormula>
    </tableColumn>
    <tableColumn id="9" xr3:uid="{00000000-0010-0000-0900-000009000000}" name="団体・法人名(フリガナ)" dataDxfId="122" totalsRowDxfId="121">
      <calculatedColumnFormula>IF(原本!I3="","",原本!I3)</calculatedColumnFormula>
    </tableColumn>
    <tableColumn id="10" xr3:uid="{00000000-0010-0000-0900-00000A000000}" name="役職・部署名" dataDxfId="120" totalsRowDxfId="119">
      <calculatedColumnFormula>IF(原本!J3="","",原本!J3)</calculatedColumnFormula>
    </tableColumn>
    <tableColumn id="11" xr3:uid="{00000000-0010-0000-0900-00000B000000}" name="役職・部署名(フリガナ)" dataDxfId="118" totalsRowDxfId="117">
      <calculatedColumnFormula>IF(原本!K3="","",原本!K3)</calculatedColumnFormula>
    </tableColumn>
    <tableColumn id="12" xr3:uid="{00000000-0010-0000-0900-00000C000000}" name="氏名" dataDxfId="116" totalsRowDxfId="115">
      <calculatedColumnFormula>IF(原本!L3="","",原本!L3)</calculatedColumnFormula>
    </tableColumn>
    <tableColumn id="13" xr3:uid="{00000000-0010-0000-0900-00000D000000}" name="フリガナ" dataDxfId="114" totalsRowDxfId="113">
      <calculatedColumnFormula>IF(原本!M3="","",原本!M3)</calculatedColumnFormula>
    </tableColumn>
    <tableColumn id="14" xr3:uid="{00000000-0010-0000-0900-00000E000000}" name="生年月日" dataDxfId="112" totalsRowDxfId="111">
      <calculatedColumnFormula>IF(原本!N3="","",原本!N3)</calculatedColumnFormula>
    </tableColumn>
    <tableColumn id="15" xr3:uid="{00000000-0010-0000-0900-00000F000000}" name="性別" dataDxfId="110" totalsRowDxfId="109">
      <calculatedColumnFormula>IF(原本!O3="","",原本!O3)</calculatedColumnFormula>
    </tableColumn>
    <tableColumn id="16" xr3:uid="{00000000-0010-0000-0900-000010000000}" name="郵便番号" dataDxfId="108" totalsRowDxfId="107">
      <calculatedColumnFormula>IF(原本!P3="","",原本!P3)</calculatedColumnFormula>
    </tableColumn>
    <tableColumn id="17" xr3:uid="{00000000-0010-0000-0900-000011000000}" name="住所" dataDxfId="106" totalsRowDxfId="105">
      <calculatedColumnFormula>IF(原本!Q3="","",原本!Q3)</calculatedColumnFormula>
    </tableColumn>
    <tableColumn id="18" xr3:uid="{00000000-0010-0000-0900-000012000000}" name="電話番号" dataDxfId="104" totalsRowDxfId="103">
      <calculatedColumnFormula>IF(原本!R3="","",原本!R3)</calculatedColumnFormula>
    </tableColumn>
    <tableColumn id="19" xr3:uid="{00000000-0010-0000-0900-000013000000}" name="内線番号" dataDxfId="102" totalsRowDxfId="101">
      <calculatedColumnFormula>IF(原本!S3="","",原本!S3)</calculatedColumnFormula>
    </tableColumn>
    <tableColumn id="20" xr3:uid="{00000000-0010-0000-0900-000014000000}" name="FAX番号" dataDxfId="100" totalsRowDxfId="99">
      <calculatedColumnFormula>IF(原本!T3="","",原本!T3)</calculatedColumnFormula>
    </tableColumn>
    <tableColumn id="21" xr3:uid="{00000000-0010-0000-0900-000015000000}" name="携帯番号" dataDxfId="98" totalsRowDxfId="97">
      <calculatedColumnFormula>IF(原本!U3="","",原本!U3)</calculatedColumnFormula>
    </tableColumn>
    <tableColumn id="22" xr3:uid="{00000000-0010-0000-0900-000016000000}" name="メールアドレス１" dataDxfId="96" totalsRowDxfId="95">
      <calculatedColumnFormula>IF(原本!V3="","",原本!V3)</calculatedColumnFormula>
    </tableColumn>
    <tableColumn id="23" xr3:uid="{00000000-0010-0000-0900-000017000000}" name="メールアドレス２" dataDxfId="94" totalsRowDxfId="93">
      <calculatedColumnFormula>IF(原本!W3="","",原本!W3)</calculatedColumnFormula>
    </tableColumn>
    <tableColumn id="24" xr3:uid="{00000000-0010-0000-0900-000018000000}" name="申請日2" dataDxfId="92" totalsRowDxfId="91">
      <calculatedColumnFormula>IF(原本!X3="","",原本!X3)</calculatedColumnFormula>
    </tableColumn>
    <tableColumn id="25" xr3:uid="{00000000-0010-0000-0900-000019000000}" name="法人名" dataDxfId="90" totalsRowDxfId="89">
      <calculatedColumnFormula>IF(原本!Y3="","",原本!Y3)</calculatedColumnFormula>
    </tableColumn>
    <tableColumn id="26" xr3:uid="{00000000-0010-0000-0900-00001A000000}" name="事業所名" dataDxfId="88" totalsRowDxfId="87">
      <calculatedColumnFormula>IF(原本!Z3="","",原本!Z3)</calculatedColumnFormula>
    </tableColumn>
    <tableColumn id="27" xr3:uid="{00000000-0010-0000-0900-00001B000000}" name="事業所番号" dataDxfId="86" totalsRowDxfId="85">
      <calculatedColumnFormula>IF(原本!AA3="","",原本!AA3)</calculatedColumnFormula>
    </tableColumn>
    <tableColumn id="28" xr3:uid="{00000000-0010-0000-0900-00001C000000}" name="提供サービス" dataDxfId="84" totalsRowDxfId="83">
      <calculatedColumnFormula>IF(原本!AB3="","",原本!AB3)</calculatedColumnFormula>
    </tableColumn>
    <tableColumn id="29" xr3:uid="{00000000-0010-0000-0900-00001D000000}" name="担当者氏名" dataDxfId="82" totalsRowDxfId="81">
      <calculatedColumnFormula>IF(原本!AC3="","",原本!AC3)</calculatedColumnFormula>
    </tableColumn>
    <tableColumn id="30" xr3:uid="{00000000-0010-0000-0900-00001E000000}" name="担当者電話番号" dataDxfId="80" totalsRowDxfId="79">
      <calculatedColumnFormula>IF(原本!AD3="","",原本!AD3)</calculatedColumnFormula>
    </tableColumn>
    <tableColumn id="31" xr3:uid="{00000000-0010-0000-0900-00001F000000}" name="担当者メールアドレス（メールアドレス１）" dataDxfId="78" totalsRowDxfId="77">
      <calculatedColumnFormula>IF(原本!AE3="","",原本!AE3)</calculatedColumnFormula>
    </tableColumn>
    <tableColumn id="32" xr3:uid="{00000000-0010-0000-0900-000020000000}" name="担当者メールアドレス（メールアドレス２）" dataDxfId="76" totalsRowDxfId="75">
      <calculatedColumnFormula>IF(原本!AF3="","",原本!AF3)</calculatedColumnFormula>
    </tableColumn>
    <tableColumn id="33" xr3:uid="{00000000-0010-0000-0900-000021000000}" name="所要額" totalsRowFunction="min" dataDxfId="74" totalsRowDxfId="73">
      <calculatedColumnFormula>IF(原本!AG3="","",原本!AG3)</calculatedColumnFormula>
    </tableColumn>
    <tableColumn id="34" xr3:uid="{00000000-0010-0000-0900-000022000000}" name="「生産活動拡大支援事業　所要額調書」をアップロードしてください" dataDxfId="72" totalsRowDxfId="71">
      <calculatedColumnFormula>IF(原本!AH3="","",原本!AH3)</calculatedColumnFormula>
    </tableColumn>
    <tableColumn id="35" xr3:uid="{00000000-0010-0000-0900-000023000000}" name="一括申請" dataDxfId="70" totalsRowDxfId="69">
      <calculatedColumnFormula>IF(原本!AI3="","",原本!AI3)</calculatedColumnFormula>
    </tableColumn>
    <tableColumn id="36" xr3:uid="{00000000-0010-0000-0900-000024000000}" name="一括申請事業所数" dataDxfId="68" totalsRowDxfId="67">
      <calculatedColumnFormula>IF(原本!AJ3="","",原本!AJ3)</calculatedColumnFormula>
    </tableColumn>
    <tableColumn id="37" xr3:uid="{00000000-0010-0000-0900-000025000000}" name="事業所名（別添1）" dataDxfId="66" totalsRowDxfId="65">
      <calculatedColumnFormula>IF(原本!AK3="","",原本!AK3)</calculatedColumnFormula>
    </tableColumn>
    <tableColumn id="38" xr3:uid="{00000000-0010-0000-0900-000026000000}" name="事業所番号（別添1）" dataDxfId="64" totalsRowDxfId="63">
      <calculatedColumnFormula>IF(原本!AL3="","",原本!AL3)</calculatedColumnFormula>
    </tableColumn>
    <tableColumn id="39" xr3:uid="{00000000-0010-0000-0900-000027000000}" name="提供サービス（別添1）" dataDxfId="62" totalsRowDxfId="61">
      <calculatedColumnFormula>IF(原本!AM3="","",原本!AM3)</calculatedColumnFormula>
    </tableColumn>
    <tableColumn id="40" xr3:uid="{00000000-0010-0000-0900-000028000000}" name="所要額（別添1）" dataDxfId="60" totalsRowDxfId="59">
      <calculatedColumnFormula>IF(原本!AN3="","",原本!AN3)</calculatedColumnFormula>
    </tableColumn>
    <tableColumn id="41" xr3:uid="{00000000-0010-0000-0900-000029000000}" name="事業所名（別添2）" dataDxfId="58" totalsRowDxfId="57">
      <calculatedColumnFormula>IF(原本!AO3="","",原本!AO3)</calculatedColumnFormula>
    </tableColumn>
    <tableColumn id="42" xr3:uid="{00000000-0010-0000-0900-00002A000000}" name="事業所番号（別添2）" dataDxfId="56" totalsRowDxfId="55">
      <calculatedColumnFormula>IF(原本!AP3="","",原本!AP3)</calculatedColumnFormula>
    </tableColumn>
    <tableColumn id="43" xr3:uid="{00000000-0010-0000-0900-00002B000000}" name="提供サービス（別添2）" dataDxfId="54" totalsRowDxfId="53">
      <calculatedColumnFormula>IF(原本!AQ3="","",原本!AQ3)</calculatedColumnFormula>
    </tableColumn>
    <tableColumn id="44" xr3:uid="{00000000-0010-0000-0900-00002C000000}" name="所要額（別添2）" dataDxfId="52" totalsRowDxfId="51">
      <calculatedColumnFormula>IF(原本!AR3="","",原本!AR3)</calculatedColumnFormula>
    </tableColumn>
    <tableColumn id="45" xr3:uid="{00000000-0010-0000-0900-00002D000000}" name="事業所名（別添3）" dataDxfId="50" totalsRowDxfId="49">
      <calculatedColumnFormula>IF(原本!AS3="","",原本!AS3)</calculatedColumnFormula>
    </tableColumn>
    <tableColumn id="46" xr3:uid="{00000000-0010-0000-0900-00002E000000}" name="事業所番号（別添3）" dataDxfId="48" totalsRowDxfId="47">
      <calculatedColumnFormula>IF(原本!AT3="","",原本!AT3)</calculatedColumnFormula>
    </tableColumn>
    <tableColumn id="47" xr3:uid="{00000000-0010-0000-0900-00002F000000}" name="提供サービス（別添3）" dataDxfId="46" totalsRowDxfId="45">
      <calculatedColumnFormula>IF(原本!AU3="","",原本!AU3)</calculatedColumnFormula>
    </tableColumn>
    <tableColumn id="48" xr3:uid="{00000000-0010-0000-0900-000030000000}" name="所要額（別添3）" dataDxfId="44" totalsRowDxfId="43">
      <calculatedColumnFormula>IF(原本!AV3="","",原本!AV3)</calculatedColumnFormula>
    </tableColumn>
    <tableColumn id="49" xr3:uid="{00000000-0010-0000-0900-000031000000}" name="事業所名（別添4）" dataDxfId="42" totalsRowDxfId="41">
      <calculatedColumnFormula>IF(原本!AW3="","",原本!AW3)</calculatedColumnFormula>
    </tableColumn>
    <tableColumn id="50" xr3:uid="{00000000-0010-0000-0900-000032000000}" name="事業所番号（別添4）" dataDxfId="40" totalsRowDxfId="39">
      <calculatedColumnFormula>IF(原本!AX3="","",原本!AX3)</calculatedColumnFormula>
    </tableColumn>
    <tableColumn id="51" xr3:uid="{00000000-0010-0000-0900-000033000000}" name="提供サービス（別添4）" dataDxfId="38" totalsRowDxfId="37">
      <calculatedColumnFormula>IF(原本!AY3="","",原本!AY3)</calculatedColumnFormula>
    </tableColumn>
    <tableColumn id="52" xr3:uid="{00000000-0010-0000-0900-000034000000}" name="所要額（別添4）" dataDxfId="36" totalsRowDxfId="35">
      <calculatedColumnFormula>IF(原本!AZ3="","",原本!AZ3)</calculatedColumnFormula>
    </tableColumn>
    <tableColumn id="53" xr3:uid="{00000000-0010-0000-0900-000035000000}" name="事業所名（別添5）" dataDxfId="34" totalsRowDxfId="33">
      <calculatedColumnFormula>IF(原本!BA3="","",原本!BA3)</calculatedColumnFormula>
    </tableColumn>
    <tableColumn id="54" xr3:uid="{00000000-0010-0000-0900-000036000000}" name="事業所番号（別添5）" dataDxfId="32" totalsRowDxfId="31">
      <calculatedColumnFormula>IF(原本!BB3="","",原本!BB3)</calculatedColumnFormula>
    </tableColumn>
    <tableColumn id="55" xr3:uid="{00000000-0010-0000-0900-000037000000}" name="提供サービス（別添5）" dataDxfId="30" totalsRowDxfId="29">
      <calculatedColumnFormula>IF(原本!BC3="","",原本!BC3)</calculatedColumnFormula>
    </tableColumn>
    <tableColumn id="56" xr3:uid="{00000000-0010-0000-0900-000038000000}" name="所要額（別添5）" dataDxfId="28" totalsRowDxfId="27">
      <calculatedColumnFormula>IF(原本!BD3="","",原本!BD3)</calculatedColumnFormula>
    </tableColumn>
    <tableColumn id="57" xr3:uid="{00000000-0010-0000-0900-000039000000}" name="事業所名（別添6）" dataDxfId="26" totalsRowDxfId="25">
      <calculatedColumnFormula>IF(原本!BE3="","",原本!BE3)</calculatedColumnFormula>
    </tableColumn>
    <tableColumn id="58" xr3:uid="{00000000-0010-0000-0900-00003A000000}" name="事業所番号（別添6）" dataDxfId="24" totalsRowDxfId="23">
      <calculatedColumnFormula>IF(原本!BF3="","",原本!BF3)</calculatedColumnFormula>
    </tableColumn>
    <tableColumn id="59" xr3:uid="{00000000-0010-0000-0900-00003B000000}" name="提供サービス（別添6）" dataDxfId="22" totalsRowDxfId="21">
      <calculatedColumnFormula>IF(原本!BG3="","",原本!BG3)</calculatedColumnFormula>
    </tableColumn>
    <tableColumn id="60" xr3:uid="{00000000-0010-0000-0900-00003C000000}" name="所要額（別添6）" dataDxfId="20" totalsRowDxfId="19">
      <calculatedColumnFormula>IF(原本!BH3="","",原本!BH3)</calculatedColumnFormula>
    </tableColumn>
    <tableColumn id="61" xr3:uid="{00000000-0010-0000-0900-00003D000000}" name="事業所名（別添7）" dataDxfId="18" totalsRowDxfId="17">
      <calculatedColumnFormula>IF(原本!BI3="","",原本!BI3)</calculatedColumnFormula>
    </tableColumn>
    <tableColumn id="62" xr3:uid="{00000000-0010-0000-0900-00003E000000}" name="事業所番号（別添7）" dataDxfId="16" totalsRowDxfId="15">
      <calculatedColumnFormula>IF(原本!BJ3="","",原本!BJ3)</calculatedColumnFormula>
    </tableColumn>
    <tableColumn id="63" xr3:uid="{00000000-0010-0000-0900-00003F000000}" name="提供サービス（別添7）" dataDxfId="14" totalsRowDxfId="13">
      <calculatedColumnFormula>IF(原本!BK3="","",原本!BK3)</calculatedColumnFormula>
    </tableColumn>
    <tableColumn id="64" xr3:uid="{00000000-0010-0000-0900-000040000000}" name="所要額（別添7）" dataDxfId="12" totalsRowDxfId="11">
      <calculatedColumnFormula>IF(原本!BL3="","",原本!BL3)</calculatedColumnFormula>
    </tableColumn>
    <tableColumn id="65" xr3:uid="{00000000-0010-0000-0900-000041000000}" name="備考欄" dataDxfId="10" totalsRowDxfId="9">
      <calculatedColumnFormula>IF(原本!BM3="","",原本!BM3)</calculatedColumnFormula>
    </tableColumn>
    <tableColumn id="66" xr3:uid="{00000000-0010-0000-0900-000042000000}" name="履歴" dataDxfId="8" totalsRowDxfId="7">
      <calculatedColumnFormula>IF(原本!BN3="","",原本!BN3)</calculatedColumnFormula>
    </tableColumn>
    <tableColumn id="67" xr3:uid="{00000000-0010-0000-0900-000043000000}" name="法人内事業所申請数" totalsRowFunction="sum" dataDxfId="6" totalsRowDxfId="5">
      <calculatedColumnFormula>IFERROR(INDEX($BT$3:$BU$8,MATCH(テーブル1[[#This Row],[一括申請事業所数]],$BT$3:$BT$8,0),2),1)</calculatedColumnFormula>
    </tableColumn>
    <tableColumn id="68" xr3:uid="{00000000-0010-0000-0900-000044000000}" name="助成額合計" totalsRowFunction="sum" dataDxfId="4" totalsRowDxfId="3">
      <calculatedColumnFormula>SUM(AH3,AO3,AS3,AW3,BA3,BE3,BI3,BM3)</calculatedColumnFormula>
    </tableColumn>
    <tableColumn id="69" xr3:uid="{00000000-0010-0000-0900-000045000000}" name="総事業費" totalsRowFunction="sum" dataDxfId="2" totalsRowDxfId="1"/>
  </tableColumns>
  <tableStyleInfo name="TableStyleMedium14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テーブル25678910" displayName="テーブル25678910" ref="A1:Q48" totalsRowCount="1" headerRowDxfId="478" dataDxfId="477" totalsRowDxfId="476">
  <autoFilter ref="A1:Q47" xr:uid="{00000000-0009-0000-0100-000009000000}"/>
  <sortState xmlns:xlrd2="http://schemas.microsoft.com/office/spreadsheetml/2017/richdata2" ref="A2:R15">
    <sortCondition ref="C1:C15"/>
  </sortState>
  <tableColumns count="17">
    <tableColumn id="1" xr3:uid="{00000000-0010-0000-0100-000001000000}" name="№" dataDxfId="475" totalsRowDxfId="474"/>
    <tableColumn id="2" xr3:uid="{00000000-0010-0000-0100-000002000000}" name="申請日" dataDxfId="473" totalsRowDxfId="472"/>
    <tableColumn id="3" xr3:uid="{00000000-0010-0000-0100-000003000000}" name="法人名" dataDxfId="471" totalsRowDxfId="470"/>
    <tableColumn id="10" xr3:uid="{00000000-0010-0000-0100-00000A000000}" name="代表者名" dataDxfId="469" totalsRowDxfId="468"/>
    <tableColumn id="4" xr3:uid="{00000000-0010-0000-0100-000004000000}" name="事業所名" dataDxfId="467" totalsRowDxfId="466"/>
    <tableColumn id="5" xr3:uid="{00000000-0010-0000-0100-000005000000}" name="主な提供サービス" dataDxfId="465" totalsRowDxfId="464"/>
    <tableColumn id="9" xr3:uid="{00000000-0010-0000-0100-000009000000}" name="申請額" dataDxfId="463" totalsRowDxfId="462"/>
    <tableColumn id="18" xr3:uid="{00000000-0010-0000-0100-000012000000}" name="市交付決定額" totalsRowFunction="sum" dataDxfId="461" totalsRowDxfId="460"/>
    <tableColumn id="19" xr3:uid="{00000000-0010-0000-0100-000013000000}" name="市交付確定額" totalsRowFunction="sum" dataDxfId="459" totalsRowDxfId="458"/>
    <tableColumn id="15" xr3:uid="{00000000-0010-0000-0100-00000F000000}" name="国庫補助額" totalsRowFunction="sum" dataDxfId="457" totalsRowDxfId="456">
      <calculatedColumnFormula>ROUNDDOWN(PRODUCT(テーブル25678910[[#This Row],[市交付確定額]],2)/3,-3)</calculatedColumnFormula>
    </tableColumn>
    <tableColumn id="7" xr3:uid="{00000000-0010-0000-0100-000007000000}" name="補助金返還額" totalsRowFunction="sum" dataDxfId="455" totalsRowDxfId="454">
      <calculatedColumnFormula>IF(テーブル25678910[[#This Row],[補助金支出]]="確定払","",テーブル25678910[[#This Row],[市交付決定額]]-テーブル25678910[[#This Row],[市交付確定額]])</calculatedColumnFormula>
    </tableColumn>
    <tableColumn id="11" xr3:uid="{00000000-0010-0000-0100-00000B000000}" name="補助金支出" dataDxfId="453" totalsRowDxfId="452"/>
    <tableColumn id="8" xr3:uid="{00000000-0010-0000-0100-000008000000}" name="支出命令日" dataDxfId="451" totalsRowDxfId="450"/>
    <tableColumn id="12" xr3:uid="{00000000-0010-0000-0100-00000C000000}" name="支出命令日2" dataDxfId="449" totalsRowDxfId="448"/>
    <tableColumn id="13" xr3:uid="{00000000-0010-0000-0100-00000D000000}" name="備考" dataDxfId="447" totalsRowDxfId="446"/>
    <tableColumn id="6" xr3:uid="{00000000-0010-0000-0100-000006000000}" name="実績報告日" dataDxfId="445" totalsRowDxfId="444"/>
    <tableColumn id="20" xr3:uid="{00000000-0010-0000-0100-000014000000}" name="確定通知_x000a_指令番号" dataDxfId="443" totalsRowDxfId="442"/>
  </tableColumns>
  <tableStyleInfo name="TableStyleLight6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テーブル256789" displayName="テーブル256789" ref="A1:T36" headerRowDxfId="441" dataDxfId="440" totalsRowDxfId="439" headerRowCellStyle="標準 3">
  <autoFilter ref="A1:T36" xr:uid="{00000000-0009-0000-0100-000008000000}"/>
  <sortState xmlns:xlrd2="http://schemas.microsoft.com/office/spreadsheetml/2017/richdata2" ref="A2:R15">
    <sortCondition ref="D1:D15"/>
  </sortState>
  <tableColumns count="20">
    <tableColumn id="1" xr3:uid="{00000000-0010-0000-0200-000001000000}" name="№" dataDxfId="438" totalsRowDxfId="437" dataCellStyle="標準 3"/>
    <tableColumn id="13" xr3:uid="{00000000-0010-0000-0200-00000D000000}" name="指令番号" dataDxfId="436" totalsRowDxfId="435" dataCellStyle="標準 3"/>
    <tableColumn id="2" xr3:uid="{00000000-0010-0000-0200-000002000000}" name="申請日" dataDxfId="434" totalsRowDxfId="433" dataCellStyle="標準 3"/>
    <tableColumn id="3" xr3:uid="{00000000-0010-0000-0200-000003000000}" name="法人名" dataDxfId="432" totalsRowDxfId="431" dataCellStyle="標準 3"/>
    <tableColumn id="10" xr3:uid="{00000000-0010-0000-0200-00000A000000}" name="代表者名" dataDxfId="430" totalsRowDxfId="429" dataCellStyle="標準 3"/>
    <tableColumn id="12" xr3:uid="{00000000-0010-0000-0200-00000C000000}" name="アドレス（電子申請）" dataDxfId="428" totalsRowDxfId="427" dataCellStyle="標準 3"/>
    <tableColumn id="11" xr3:uid="{00000000-0010-0000-0200-00000B000000}" name="アドレス（申請勧奨）" dataDxfId="426" totalsRowDxfId="425" dataCellStyle="標準 3"/>
    <tableColumn id="4" xr3:uid="{00000000-0010-0000-0200-000004000000}" name="事業所名" dataDxfId="424" totalsRowDxfId="423" dataCellStyle="標準 3"/>
    <tableColumn id="5" xr3:uid="{00000000-0010-0000-0200-000005000000}" name="主な提供サービス" dataDxfId="422" totalsRowDxfId="421" dataCellStyle="標準 3"/>
    <tableColumn id="8" xr3:uid="{00000000-0010-0000-0200-000008000000}" name="交付決定額" totalsRowFunction="sum" dataDxfId="420" totalsRowDxfId="419" dataCellStyle="標準 3"/>
    <tableColumn id="14" xr3:uid="{00000000-0010-0000-0200-00000E000000}" name="国庫補助基本額【上限100万円】_x000a_（事業に要する経費≠総事業費）" totalsRowFunction="sum" dataDxfId="418" totalsRowDxfId="417" dataCellStyle="標準 3"/>
    <tableColumn id="16" xr3:uid="{00000000-0010-0000-0200-000010000000}" name="申請額" totalsRowFunction="sum" dataDxfId="416" totalsRowDxfId="415" dataCellStyle="標準 3"/>
    <tableColumn id="18" xr3:uid="{00000000-0010-0000-0200-000012000000}" name="市交付決定額" totalsRowFunction="sum" dataDxfId="414" totalsRowDxfId="413" dataCellStyle="標準 3">
      <calculatedColumnFormula>ROUNDDOWN(テーブル256789[[#This Row],[申請額]],-3)</calculatedColumnFormula>
    </tableColumn>
    <tableColumn id="19" xr3:uid="{00000000-0010-0000-0200-000013000000}" name="市交付確定額" totalsRowFunction="sum" dataDxfId="412" totalsRowDxfId="411" dataCellStyle="標準 3"/>
    <tableColumn id="15" xr3:uid="{00000000-0010-0000-0200-00000F000000}" name="国庫補助額" totalsRowFunction="sum" dataDxfId="410" totalsRowDxfId="409" dataCellStyle="標準 3">
      <calculatedColumnFormula>ROUNDDOWN(PRODUCT(テーブル256789[[#This Row],[市交付決定額]],2/3),-3)</calculatedColumnFormula>
    </tableColumn>
    <tableColumn id="17" xr3:uid="{00000000-0010-0000-0200-000011000000}" name="備考" totalsRowFunction="sum" dataDxfId="408" totalsRowDxfId="407" dataCellStyle="標準 3"/>
    <tableColumn id="9" xr3:uid="{00000000-0010-0000-0200-000009000000}" name="コメント" totalsRowFunction="sum" dataDxfId="406" totalsRowDxfId="405" dataCellStyle="標準 3"/>
    <tableColumn id="7" xr3:uid="{00000000-0010-0000-0200-000007000000}" name="補助金返還額" totalsRowFunction="sum" dataDxfId="404" totalsRowDxfId="403" dataCellStyle="標準 3">
      <calculatedColumnFormula>テーブル256789[[#This Row],[市交付決定額]]-テーブル256789[[#This Row],[市交付確定額]]</calculatedColumnFormula>
    </tableColumn>
    <tableColumn id="6" xr3:uid="{00000000-0010-0000-0200-000006000000}" name="実績報告日" dataDxfId="402" totalsRowDxfId="401" dataCellStyle="標準 3"/>
    <tableColumn id="20" xr3:uid="{00000000-0010-0000-0200-000014000000}" name="確定通知_x000a_指令番号" dataDxfId="400" totalsRowDxfId="399" dataCellStyle="標準 3"/>
  </tableColumns>
  <tableStyleInfo name="TableStyleMedium14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テーブル25678" displayName="テーブル25678" ref="B1:R51" totalsRowCount="1" headerRowDxfId="398" dataDxfId="397" totalsRowDxfId="396" headerRowCellStyle="標準 3">
  <autoFilter ref="B1:R50" xr:uid="{00000000-0009-0000-0100-000007000000}"/>
  <sortState xmlns:xlrd2="http://schemas.microsoft.com/office/spreadsheetml/2017/richdata2" ref="B2:S15">
    <sortCondition ref="E1:E15"/>
  </sortState>
  <tableColumns count="17">
    <tableColumn id="1" xr3:uid="{00000000-0010-0000-0300-000001000000}" name="№" dataDxfId="395" totalsRowDxfId="394" dataCellStyle="標準 3"/>
    <tableColumn id="13" xr3:uid="{00000000-0010-0000-0300-00000D000000}" name="指令番号" dataDxfId="393" totalsRowDxfId="392" dataCellStyle="標準 3"/>
    <tableColumn id="2" xr3:uid="{00000000-0010-0000-0300-000002000000}" name="申請日" dataDxfId="391" totalsRowDxfId="390" dataCellStyle="標準 3"/>
    <tableColumn id="3" xr3:uid="{00000000-0010-0000-0300-000003000000}" name="法人名" dataDxfId="389" totalsRowDxfId="388" dataCellStyle="標準 3"/>
    <tableColumn id="10" xr3:uid="{00000000-0010-0000-0300-00000A000000}" name="代表者名" dataDxfId="387" totalsRowDxfId="386" dataCellStyle="標準 3"/>
    <tableColumn id="12" xr3:uid="{00000000-0010-0000-0300-00000C000000}" name="アドレス（電子申請）" dataDxfId="385" totalsRowDxfId="384" dataCellStyle="標準 3"/>
    <tableColumn id="11" xr3:uid="{00000000-0010-0000-0300-00000B000000}" name="アドレス（申請勧奨）" dataDxfId="383" totalsRowDxfId="382" dataCellStyle="標準 3"/>
    <tableColumn id="4" xr3:uid="{00000000-0010-0000-0300-000004000000}" name="事業所名" dataDxfId="381" totalsRowDxfId="380" dataCellStyle="標準 3"/>
    <tableColumn id="5" xr3:uid="{00000000-0010-0000-0300-000005000000}" name="主な提供サービス" dataDxfId="379" totalsRowDxfId="378" dataCellStyle="標準 3"/>
    <tableColumn id="8" xr3:uid="{00000000-0010-0000-0300-000008000000}" name="交付決定額" totalsRowFunction="sum" dataDxfId="377" totalsRowDxfId="376" dataCellStyle="標準 3"/>
    <tableColumn id="14" xr3:uid="{00000000-0010-0000-0300-00000E000000}" name="国庫補助基本額【上限100万円】_x000a_（事業に要する経費≠総事業費）" totalsRowFunction="sum" dataDxfId="375" totalsRowDxfId="374" dataCellStyle="標準 3"/>
    <tableColumn id="16" xr3:uid="{00000000-0010-0000-0300-000010000000}" name="申請額" totalsRowFunction="sum" dataDxfId="373" totalsRowDxfId="372" dataCellStyle="標準 3"/>
    <tableColumn id="18" xr3:uid="{00000000-0010-0000-0300-000012000000}" name="市交付決定額" totalsRowFunction="sum" dataDxfId="371" totalsRowDxfId="370" dataCellStyle="標準 3">
      <calculatedColumnFormula>ROUNDDOWN(テーブル25678[[#This Row],[申請額]],-3)</calculatedColumnFormula>
    </tableColumn>
    <tableColumn id="19" xr3:uid="{00000000-0010-0000-0300-000013000000}" name="市交付確定額" totalsRowFunction="sum" dataDxfId="369" totalsRowDxfId="368" dataCellStyle="標準 3"/>
    <tableColumn id="15" xr3:uid="{00000000-0010-0000-0300-00000F000000}" name="国庫補助額" totalsRowFunction="sum" dataDxfId="367" totalsRowDxfId="366" dataCellStyle="標準 3">
      <calculatedColumnFormula>ROUNDDOWN(PRODUCT(テーブル25678[[#This Row],[市交付決定額]],2/3),-3)</calculatedColumnFormula>
    </tableColumn>
    <tableColumn id="17" xr3:uid="{00000000-0010-0000-0300-000011000000}" name="備考" dataDxfId="365" totalsRowDxfId="364" dataCellStyle="標準 3"/>
    <tableColumn id="9" xr3:uid="{00000000-0010-0000-0300-000009000000}" name="コメント" dataDxfId="363" totalsRowDxfId="362" dataCellStyle="標準 3"/>
  </tableColumns>
  <tableStyleInfo name="TableStyleMedium13"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テーブル2567" displayName="テーブル2567" ref="A1:R16" totalsRowCount="1" headerRowDxfId="361" dataDxfId="360" totalsRowDxfId="359" headerRowCellStyle="標準 3">
  <autoFilter ref="A1:R15" xr:uid="{00000000-0009-0000-0100-000006000000}"/>
  <sortState xmlns:xlrd2="http://schemas.microsoft.com/office/spreadsheetml/2017/richdata2" ref="A2:R15">
    <sortCondition ref="D1:D15"/>
  </sortState>
  <tableColumns count="18">
    <tableColumn id="1" xr3:uid="{00000000-0010-0000-0400-000001000000}" name="№" dataDxfId="358" totalsRowDxfId="357" dataCellStyle="標準 3"/>
    <tableColumn id="13" xr3:uid="{00000000-0010-0000-0400-00000D000000}" name="指令番号" dataDxfId="356" totalsRowDxfId="355" dataCellStyle="標準 3"/>
    <tableColumn id="2" xr3:uid="{00000000-0010-0000-0400-000002000000}" name="申請日" dataDxfId="354" totalsRowDxfId="353" dataCellStyle="標準 3"/>
    <tableColumn id="3" xr3:uid="{00000000-0010-0000-0400-000003000000}" name="法人名" dataDxfId="352" totalsRowDxfId="351" dataCellStyle="標準 3"/>
    <tableColumn id="10" xr3:uid="{00000000-0010-0000-0400-00000A000000}" name="代表者名" dataDxfId="350" totalsRowDxfId="349" dataCellStyle="標準 3"/>
    <tableColumn id="12" xr3:uid="{00000000-0010-0000-0400-00000C000000}" name="アドレス（電子申請）" dataDxfId="348" totalsRowDxfId="347" dataCellStyle="標準 3"/>
    <tableColumn id="11" xr3:uid="{00000000-0010-0000-0400-00000B000000}" name="アドレス（申請勧奨）" dataDxfId="346" totalsRowDxfId="345" dataCellStyle="標準 3"/>
    <tableColumn id="4" xr3:uid="{00000000-0010-0000-0400-000004000000}" name="事業所名" dataDxfId="344" totalsRowDxfId="343" dataCellStyle="標準 3"/>
    <tableColumn id="5" xr3:uid="{00000000-0010-0000-0400-000005000000}" name="主な提供サービス" dataDxfId="342" totalsRowDxfId="341" dataCellStyle="標準 3"/>
    <tableColumn id="6" xr3:uid="{00000000-0010-0000-0400-000006000000}" name="採択希望順位" dataDxfId="340" totalsRowDxfId="339" dataCellStyle="標準 3"/>
    <tableColumn id="7" xr3:uid="{00000000-0010-0000-0400-000007000000}" name="チェック" dataDxfId="338" totalsRowDxfId="337" dataCellStyle="標準 3"/>
    <tableColumn id="8" xr3:uid="{00000000-0010-0000-0400-000008000000}" name="参考：　採択（予定）金額" totalsRowFunction="sum" dataDxfId="336" totalsRowDxfId="335" dataCellStyle="標準 3"/>
    <tableColumn id="15" xr3:uid="{00000000-0010-0000-0400-00000F000000}" name="検算" totalsRowFunction="sum" dataDxfId="334" totalsRowDxfId="333" dataCellStyle="標準 3">
      <calculatedColumnFormula>ROUNDDOWN(QUOTIENT(PRODUCT(テーブル2567[[#This Row],[国庫補助基本額【上限100万円】
（内示額）]],2),3),-3)</calculatedColumnFormula>
    </tableColumn>
    <tableColumn id="14" xr3:uid="{00000000-0010-0000-0400-00000E000000}" name="国庫補助基本額【上限100万円】_x000a_（内示額）" totalsRowFunction="sum" dataDxfId="332" totalsRowDxfId="331"/>
    <tableColumn id="16" xr3:uid="{00000000-0010-0000-0400-000010000000}" name="申請額" totalsRowFunction="sum" dataDxfId="330" totalsRowDxfId="329" dataCellStyle="標準 3"/>
    <tableColumn id="18" xr3:uid="{00000000-0010-0000-0400-000012000000}" name="交付決定額" totalsRowFunction="sum" dataDxfId="328" totalsRowDxfId="327" dataCellStyle="標準 3">
      <calculatedColumnFormula>ROUNDDOWN(テーブル2567[[#This Row],[申請額]],-3)</calculatedColumnFormula>
    </tableColumn>
    <tableColumn id="17" xr3:uid="{00000000-0010-0000-0400-000011000000}" name="備考" dataDxfId="326" totalsRowDxfId="325" dataCellStyle="標準 3"/>
    <tableColumn id="9" xr3:uid="{00000000-0010-0000-0400-000009000000}" name="コメント" dataDxfId="324" totalsRowDxfId="323" dataCellStyle="標準 3"/>
  </tableColumns>
  <tableStyleInfo name="TableStyleMedium13"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テーブル256" displayName="テーブル256" ref="A1:R16" totalsRowCount="1" headerRowDxfId="322" dataDxfId="321" totalsRowDxfId="320" headerRowCellStyle="標準 3">
  <autoFilter ref="A1:R15" xr:uid="{00000000-0009-0000-0100-000005000000}"/>
  <sortState xmlns:xlrd2="http://schemas.microsoft.com/office/spreadsheetml/2017/richdata2" ref="A2:R15">
    <sortCondition ref="D1:D15"/>
  </sortState>
  <tableColumns count="18">
    <tableColumn id="1" xr3:uid="{00000000-0010-0000-0500-000001000000}" name="№" dataDxfId="319" totalsRowDxfId="318" dataCellStyle="標準 3"/>
    <tableColumn id="13" xr3:uid="{00000000-0010-0000-0500-00000D000000}" name="指令番号" dataDxfId="317" totalsRowDxfId="316" dataCellStyle="標準 3"/>
    <tableColumn id="2" xr3:uid="{00000000-0010-0000-0500-000002000000}" name="申請日" dataDxfId="315" totalsRowDxfId="314" dataCellStyle="標準 3"/>
    <tableColumn id="3" xr3:uid="{00000000-0010-0000-0500-000003000000}" name="法人名" dataDxfId="313" totalsRowDxfId="312" dataCellStyle="標準 3"/>
    <tableColumn id="10" xr3:uid="{00000000-0010-0000-0500-00000A000000}" name="代表者名" dataDxfId="311" totalsRowDxfId="310" dataCellStyle="標準 3"/>
    <tableColumn id="12" xr3:uid="{00000000-0010-0000-0500-00000C000000}" name="アドレス（電子申請）" dataDxfId="309" totalsRowDxfId="308" dataCellStyle="標準 3"/>
    <tableColumn id="11" xr3:uid="{00000000-0010-0000-0500-00000B000000}" name="アドレス（申請勧奨）" dataDxfId="307" totalsRowDxfId="306" dataCellStyle="標準 3"/>
    <tableColumn id="4" xr3:uid="{00000000-0010-0000-0500-000004000000}" name="事業所名" dataDxfId="305" totalsRowDxfId="304" dataCellStyle="標準 3"/>
    <tableColumn id="5" xr3:uid="{00000000-0010-0000-0500-000005000000}" name="主な提供サービス" dataDxfId="303" totalsRowDxfId="302" dataCellStyle="標準 3"/>
    <tableColumn id="6" xr3:uid="{00000000-0010-0000-0500-000006000000}" name="採択希望順位" dataDxfId="301" totalsRowDxfId="300" dataCellStyle="標準 3"/>
    <tableColumn id="7" xr3:uid="{00000000-0010-0000-0500-000007000000}" name="チェック" dataDxfId="299" totalsRowDxfId="298" dataCellStyle="標準 3"/>
    <tableColumn id="8" xr3:uid="{00000000-0010-0000-0500-000008000000}" name="参考：　採択（予定）金額" totalsRowFunction="sum" dataDxfId="297" totalsRowDxfId="296" dataCellStyle="標準 3"/>
    <tableColumn id="15" xr3:uid="{00000000-0010-0000-0500-00000F000000}" name="検算" totalsRowFunction="sum" dataDxfId="295" totalsRowDxfId="294" dataCellStyle="標準 3">
      <calculatedColumnFormula>ROUNDDOWN(QUOTIENT(PRODUCT(テーブル256[[#This Row],[国庫補助基本額【上限100万円】
（内示額）]],2),3),-3)</calculatedColumnFormula>
    </tableColumn>
    <tableColumn id="14" xr3:uid="{00000000-0010-0000-0500-00000E000000}" name="国庫補助基本額【上限100万円】_x000a_（内示額）" totalsRowFunction="sum" dataDxfId="293" totalsRowDxfId="292"/>
    <tableColumn id="16" xr3:uid="{00000000-0010-0000-0500-000010000000}" name="申請額" totalsRowFunction="sum" dataDxfId="291" totalsRowDxfId="290" dataCellStyle="標準 3"/>
    <tableColumn id="18" xr3:uid="{00000000-0010-0000-0500-000012000000}" name="交付決定額" totalsRowFunction="sum" dataDxfId="289" totalsRowDxfId="288" dataCellStyle="標準 3">
      <calculatedColumnFormula>ROUNDDOWN(テーブル256[[#This Row],[申請額]],-3)</calculatedColumnFormula>
    </tableColumn>
    <tableColumn id="17" xr3:uid="{00000000-0010-0000-0500-000011000000}" name="備考" dataDxfId="287" totalsRowDxfId="286" dataCellStyle="標準 3"/>
    <tableColumn id="9" xr3:uid="{00000000-0010-0000-0500-000009000000}" name="コメント" dataDxfId="285" totalsRowDxfId="284" dataCellStyle="標準 3"/>
  </tableColumns>
  <tableStyleInfo name="TableStyleMedium13"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テーブル25" displayName="テーブル25" ref="A1:O51" totalsRowCount="1" headerRowDxfId="283" dataDxfId="282" totalsRowDxfId="281" headerRowCellStyle="標準 3">
  <autoFilter ref="A1:O50" xr:uid="{00000000-0009-0000-0100-000004000000}"/>
  <sortState xmlns:xlrd2="http://schemas.microsoft.com/office/spreadsheetml/2017/richdata2" ref="A3:J53">
    <sortCondition ref="D2:D53"/>
  </sortState>
  <tableColumns count="15">
    <tableColumn id="1" xr3:uid="{00000000-0010-0000-0600-000001000000}" name="№" totalsRowFunction="count" dataDxfId="280" totalsRowDxfId="279" dataCellStyle="標準 3"/>
    <tableColumn id="13" xr3:uid="{00000000-0010-0000-0600-00000D000000}" name="№2" totalsRowFunction="count" dataDxfId="278" totalsRowDxfId="277" dataCellStyle="標準 3"/>
    <tableColumn id="2" xr3:uid="{00000000-0010-0000-0600-000002000000}" name="過去の補助実績" dataDxfId="276" totalsRowDxfId="275" dataCellStyle="標準 3"/>
    <tableColumn id="3" xr3:uid="{00000000-0010-0000-0600-000003000000}" name="法人名" dataDxfId="274" totalsRowDxfId="273" dataCellStyle="標準 3"/>
    <tableColumn id="10" xr3:uid="{00000000-0010-0000-0600-00000A000000}" name="代表者名" dataDxfId="272" totalsRowDxfId="271" dataCellStyle="標準 3"/>
    <tableColumn id="12" xr3:uid="{00000000-0010-0000-0600-00000C000000}" name="アドレス（電子申請）" dataDxfId="270" totalsRowDxfId="269" dataCellStyle="標準 3"/>
    <tableColumn id="11" xr3:uid="{00000000-0010-0000-0600-00000B000000}" name="アドレス（申請勧奨）" dataDxfId="268" totalsRowDxfId="267" dataCellStyle="標準 3"/>
    <tableColumn id="4" xr3:uid="{00000000-0010-0000-0600-000004000000}" name="事業所名" dataDxfId="266" totalsRowDxfId="265" dataCellStyle="標準 3"/>
    <tableColumn id="5" xr3:uid="{00000000-0010-0000-0600-000005000000}" name="主な提供サービス" dataDxfId="264" totalsRowDxfId="263" dataCellStyle="標準 3"/>
    <tableColumn id="6" xr3:uid="{00000000-0010-0000-0600-000006000000}" name="採択希望順位" dataDxfId="262" totalsRowDxfId="261" dataCellStyle="標準 3"/>
    <tableColumn id="7" xr3:uid="{00000000-0010-0000-0600-000007000000}" name="チェック" dataDxfId="260" totalsRowDxfId="259" dataCellStyle="標準 3"/>
    <tableColumn id="8" xr3:uid="{00000000-0010-0000-0600-000008000000}" name="参考：　採択（予定）金額" totalsRowFunction="sum" dataDxfId="258" totalsRowDxfId="257" dataCellStyle="標準 3"/>
    <tableColumn id="15" xr3:uid="{00000000-0010-0000-0600-00000F000000}" name="検算" totalsRowFunction="sum" dataDxfId="256" totalsRowDxfId="255" dataCellStyle="標準 3">
      <calculatedColumnFormula>ROUNDDOWN(QUOTIENT(PRODUCT(テーブル25[[#This Row],[国庫補助基本額【上限100万円】]],2),3),-3)</calculatedColumnFormula>
    </tableColumn>
    <tableColumn id="14" xr3:uid="{00000000-0010-0000-0600-00000E000000}" name="国庫補助基本額【上限100万円】" totalsRowFunction="sum" dataDxfId="254" totalsRowDxfId="253"/>
    <tableColumn id="9" xr3:uid="{00000000-0010-0000-0600-000009000000}" name="コメント" dataDxfId="252" totalsRowDxfId="251" dataCellStyle="標準 3"/>
  </tableColumns>
  <tableStyleInfo name="TableStyleMedium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テーブル24" displayName="テーブル24" ref="A1:AO53" totalsRowCount="1" headerRowDxfId="250" dataDxfId="249" totalsRowDxfId="248">
  <autoFilter ref="A1:AO52" xr:uid="{00000000-0009-0000-0100-000003000000}"/>
  <tableColumns count="41">
    <tableColumn id="1" xr3:uid="{00000000-0010-0000-0700-000001000000}" name="番号" totalsRowLabel="集計" dataDxfId="247" totalsRowDxfId="246"/>
    <tableColumn id="2" xr3:uid="{00000000-0010-0000-0700-000002000000}" name="到達番号" dataDxfId="245" totalsRowDxfId="244"/>
    <tableColumn id="3" xr3:uid="{00000000-0010-0000-0700-000003000000}" name="到達日時" dataDxfId="243" totalsRowDxfId="242"/>
    <tableColumn id="4" xr3:uid="{00000000-0010-0000-0700-000004000000}" name="状態" dataDxfId="241" totalsRowDxfId="240"/>
    <tableColumn id="5" xr3:uid="{00000000-0010-0000-0700-000005000000}" name="申込方法" dataDxfId="239" totalsRowDxfId="238"/>
    <tableColumn id="6" xr3:uid="{00000000-0010-0000-0700-000006000000}" name="抽選結果" dataDxfId="237" totalsRowDxfId="236"/>
    <tableColumn id="7" xr3:uid="{00000000-0010-0000-0700-000007000000}" name="申請日" dataDxfId="235" totalsRowDxfId="234"/>
    <tableColumn id="8" xr3:uid="{00000000-0010-0000-0700-000008000000}" name="団体・法人名" dataDxfId="233" totalsRowDxfId="232"/>
    <tableColumn id="9" xr3:uid="{00000000-0010-0000-0700-000009000000}" name="団体・法人名(フリガナ)" dataDxfId="231" totalsRowDxfId="230"/>
    <tableColumn id="10" xr3:uid="{00000000-0010-0000-0700-00000A000000}" name="役職・部署名" dataDxfId="229" totalsRowDxfId="228"/>
    <tableColumn id="11" xr3:uid="{00000000-0010-0000-0700-00000B000000}" name="役職・部署名(フリガナ)" dataDxfId="227" totalsRowDxfId="226"/>
    <tableColumn id="12" xr3:uid="{00000000-0010-0000-0700-00000C000000}" name="氏名" dataDxfId="225" totalsRowDxfId="224"/>
    <tableColumn id="13" xr3:uid="{00000000-0010-0000-0700-00000D000000}" name="フリガナ" dataDxfId="223" totalsRowDxfId="222"/>
    <tableColumn id="14" xr3:uid="{00000000-0010-0000-0700-00000E000000}" name="生年月日" dataDxfId="221" totalsRowDxfId="220"/>
    <tableColumn id="15" xr3:uid="{00000000-0010-0000-0700-00000F000000}" name="性別" dataDxfId="219" totalsRowDxfId="218"/>
    <tableColumn id="16" xr3:uid="{00000000-0010-0000-0700-000010000000}" name="郵便番号" dataDxfId="217" totalsRowDxfId="216"/>
    <tableColumn id="17" xr3:uid="{00000000-0010-0000-0700-000011000000}" name="住所" dataDxfId="215" totalsRowDxfId="214"/>
    <tableColumn id="18" xr3:uid="{00000000-0010-0000-0700-000012000000}" name="電話番号" dataDxfId="213" totalsRowDxfId="212"/>
    <tableColumn id="19" xr3:uid="{00000000-0010-0000-0700-000013000000}" name="内線番号" dataDxfId="211" totalsRowDxfId="210"/>
    <tableColumn id="20" xr3:uid="{00000000-0010-0000-0700-000014000000}" name="FAX番号" dataDxfId="209" totalsRowDxfId="208"/>
    <tableColumn id="21" xr3:uid="{00000000-0010-0000-0700-000015000000}" name="携帯番号" dataDxfId="207" totalsRowDxfId="206"/>
    <tableColumn id="22" xr3:uid="{00000000-0010-0000-0700-000016000000}" name="メールアドレス１" dataDxfId="205" totalsRowDxfId="204"/>
    <tableColumn id="23" xr3:uid="{00000000-0010-0000-0700-000017000000}" name="メールアドレス２" dataDxfId="203" totalsRowDxfId="202"/>
    <tableColumn id="24" xr3:uid="{00000000-0010-0000-0700-000018000000}" name="申請日2" dataDxfId="201" totalsRowDxfId="200"/>
    <tableColumn id="25" xr3:uid="{00000000-0010-0000-0700-000019000000}" name="法人名" dataDxfId="199" totalsRowDxfId="198"/>
    <tableColumn id="26" xr3:uid="{00000000-0010-0000-0700-00001A000000}" name="事業所名" dataDxfId="197" totalsRowDxfId="196"/>
    <tableColumn id="27" xr3:uid="{00000000-0010-0000-0700-00001B000000}" name="提供サービス" dataDxfId="195" totalsRowDxfId="194"/>
    <tableColumn id="28" xr3:uid="{00000000-0010-0000-0700-00001C000000}" name="担当者氏名" dataDxfId="193" totalsRowDxfId="192"/>
    <tableColumn id="29" xr3:uid="{00000000-0010-0000-0700-00001D000000}" name="メールアドレス（メールアドレス１）" dataDxfId="191" totalsRowDxfId="190"/>
    <tableColumn id="30" xr3:uid="{00000000-0010-0000-0700-00001E000000}" name="メールアドレス（メールアドレス２）" dataDxfId="189" totalsRowDxfId="188"/>
    <tableColumn id="31" xr3:uid="{00000000-0010-0000-0700-00001F000000}" name="国庫補助対象経費の実支出（予定）額" totalsRowFunction="sum" dataDxfId="187" totalsRowDxfId="186"/>
    <tableColumn id="32" xr3:uid="{00000000-0010-0000-0700-000020000000}" name="国庫補助基本額【上限100万円】" totalsRowFunction="sum" dataDxfId="185" totalsRowDxfId="184"/>
    <tableColumn id="33" xr3:uid="{00000000-0010-0000-0700-000021000000}" name="「（別紙２）所要見込額調書」をアップロードしてください。" dataDxfId="183" totalsRowDxfId="182"/>
    <tableColumn id="34" xr3:uid="{00000000-0010-0000-0700-000022000000}" name="「（別紙３）所要見込額内訳書」をアップロードしてください。" dataDxfId="181" totalsRowDxfId="180"/>
    <tableColumn id="35" xr3:uid="{00000000-0010-0000-0700-000023000000}" name="パンフレット等、導入する機器の概要が分かる資料をアップロードしてください。" dataDxfId="179" totalsRowDxfId="178"/>
    <tableColumn id="36" xr3:uid="{00000000-0010-0000-0700-000024000000}" name="備考欄" dataDxfId="177" totalsRowDxfId="176"/>
    <tableColumn id="37" xr3:uid="{00000000-0010-0000-0700-000025000000}" name="履歴" totalsRowFunction="count" dataDxfId="175" totalsRowDxfId="174"/>
    <tableColumn id="38" xr3:uid="{00000000-0010-0000-0700-000026000000}" name="チェック" totalsRowFunction="sum" dataDxfId="173" totalsRowDxfId="172"/>
    <tableColumn id="39" xr3:uid="{00000000-0010-0000-0700-000027000000}" name="チェック2" dataDxfId="171" totalsRowDxfId="170"/>
    <tableColumn id="40" xr3:uid="{00000000-0010-0000-0700-000028000000}" name="内示用☑" totalsRowFunction="sum" dataDxfId="169" totalsRowDxfId="168"/>
    <tableColumn id="41" xr3:uid="{00000000-0010-0000-0700-000029000000}" name="所要額調査との差額" totalsRowFunction="custom" dataDxfId="167" totalsRowDxfId="166" dataCellStyle="桁区切り">
      <calculatedColumnFormula>テーブル24[[#This Row],[国庫補助基本額【上限100万円】]]-テーブル24[[#This Row],[内示用☑]]</calculatedColumnFormula>
      <totalsRowFormula>テーブル24[[#Totals],[国庫補助基本額【上限100万円】]]-テーブル24[[#Totals],[内示用☑]]</totalsRowFormula>
    </tableColumn>
  </tableColumns>
  <tableStyleInfo name="TableStyleMedium14"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8000000}" name="テーブル2" displayName="テーブル2" ref="A2:K54" totalsRowCount="1" headerRowDxfId="165" dataDxfId="164" totalsRowDxfId="163" headerRowCellStyle="標準 3">
  <autoFilter ref="A2:K53" xr:uid="{00000000-0009-0000-0100-000002000000}">
    <filterColumn colId="9">
      <filters>
        <filter val="121,000円"/>
        <filter val="122,000円"/>
        <filter val="144,000円"/>
        <filter val="155,000円"/>
        <filter val="187,000円"/>
        <filter val="220,000円"/>
        <filter val="235,000円"/>
        <filter val="25,000円"/>
        <filter val="338,000円"/>
        <filter val="343,000円"/>
        <filter val="407,000円"/>
        <filter val="444,000円"/>
        <filter val="446,000円"/>
        <filter val="50,000円"/>
        <filter val="516,000円"/>
        <filter val="517,000円"/>
        <filter val="560,000円"/>
        <filter val="588,000円"/>
        <filter val="615,000円"/>
        <filter val="637,000円"/>
        <filter val="666,000円"/>
      </filters>
    </filterColumn>
  </autoFilter>
  <sortState xmlns:xlrd2="http://schemas.microsoft.com/office/spreadsheetml/2017/richdata2" ref="A3:I53">
    <sortCondition ref="C2:C53"/>
  </sortState>
  <tableColumns count="11">
    <tableColumn id="1" xr3:uid="{00000000-0010-0000-0800-000001000000}" name="№" dataDxfId="162" totalsRowDxfId="161" dataCellStyle="標準 3"/>
    <tableColumn id="2" xr3:uid="{00000000-0010-0000-0800-000002000000}" name="過去の補助実績" dataDxfId="160" totalsRowDxfId="159" dataCellStyle="標準 3"/>
    <tableColumn id="3" xr3:uid="{00000000-0010-0000-0800-000003000000}" name="法人名" dataDxfId="158" totalsRowDxfId="157" dataCellStyle="標準 3"/>
    <tableColumn id="10" xr3:uid="{00000000-0010-0000-0800-00000A000000}" name="代表者名" dataDxfId="156" totalsRowDxfId="155" dataCellStyle="標準 3"/>
    <tableColumn id="12" xr3:uid="{00000000-0010-0000-0800-00000C000000}" name="アドレス" dataDxfId="154" totalsRowDxfId="153" dataCellStyle="標準 3"/>
    <tableColumn id="4" xr3:uid="{00000000-0010-0000-0800-000004000000}" name="事業所名" dataDxfId="152" totalsRowDxfId="151" dataCellStyle="標準 3"/>
    <tableColumn id="5" xr3:uid="{00000000-0010-0000-0800-000005000000}" name="主な提供サービス" dataDxfId="150" totalsRowDxfId="149" dataCellStyle="標準 3"/>
    <tableColumn id="6" xr3:uid="{00000000-0010-0000-0800-000006000000}" name="採択希望順位" dataDxfId="148" totalsRowDxfId="147" dataCellStyle="標準 3"/>
    <tableColumn id="7" xr3:uid="{00000000-0010-0000-0800-000007000000}" name="チェック" dataDxfId="146" totalsRowDxfId="145" dataCellStyle="標準 3"/>
    <tableColumn id="8" xr3:uid="{00000000-0010-0000-0800-000008000000}" name="参考：　採択（予定）金額" totalsRowFunction="sum" dataDxfId="144" totalsRowDxfId="143" dataCellStyle="標準 3"/>
    <tableColumn id="9" xr3:uid="{00000000-0010-0000-0800-000009000000}" name="コメント" dataDxfId="142" totalsRowDxfId="141" dataCellStyle="標準 3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ukat.me/2024/03/13/r5syougai_ictmodel/" TargetMode="External"/><Relationship Id="rId3" Type="http://schemas.openxmlformats.org/officeDocument/2006/relationships/hyperlink" Target="https://hiyoko-group.com/facility/chiruhapiarai/" TargetMode="External"/><Relationship Id="rId7" Type="http://schemas.openxmlformats.org/officeDocument/2006/relationships/hyperlink" Target="https://egaoresearch2022.wixsite.com/my-site-5/%E8%A4%87%E8%A3%BD-%E3%82%A2%E3%82%AF%E3%82%BB%E3%82%B9" TargetMode="External"/><Relationship Id="rId2" Type="http://schemas.openxmlformats.org/officeDocument/2006/relationships/hyperlink" Target="https://www.sakura-ryoikuen.com/general-5" TargetMode="External"/><Relationship Id="rId1" Type="http://schemas.openxmlformats.org/officeDocument/2006/relationships/hyperlink" Target="https://kotonoha-flat.com/diary-0317/" TargetMode="External"/><Relationship Id="rId6" Type="http://schemas.openxmlformats.org/officeDocument/2006/relationships/hyperlink" Target="https://ubuntu-sendai.blogspot.com/2025/02/ict.html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hiyoko-group.com/facility/chiruhapisportstomizawa/" TargetMode="External"/><Relationship Id="rId10" Type="http://schemas.openxmlformats.org/officeDocument/2006/relationships/hyperlink" Target="https://www.net-pier.org/category5/category9/entry38.html" TargetMode="External"/><Relationship Id="rId4" Type="http://schemas.openxmlformats.org/officeDocument/2006/relationships/hyperlink" Target="https://hiyoko-group.com/facility/chilhapi-tomizawa/" TargetMode="External"/><Relationship Id="rId9" Type="http://schemas.openxmlformats.org/officeDocument/2006/relationships/hyperlink" Target="https://yoshiko-kitamura-3.jimdosite.com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nfo@hop-miyagi.org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info@hop-miyagi.org" TargetMode="External"/><Relationship Id="rId5" Type="http://schemas.openxmlformats.org/officeDocument/2006/relationships/comments" Target="../comments2.xml"/><Relationship Id="rId4" Type="http://schemas.openxmlformats.org/officeDocument/2006/relationships/table" Target="../tables/table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info@hop-miyagi.org" TargetMode="External"/><Relationship Id="rId4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info@hop-miyagi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E15"/>
  <sheetViews>
    <sheetView showGridLines="0" tabSelected="1" view="pageBreakPreview" zoomScale="70" zoomScaleNormal="70" zoomScaleSheetLayoutView="70" workbookViewId="0">
      <selection activeCell="E10" sqref="E10"/>
    </sheetView>
  </sheetViews>
  <sheetFormatPr defaultColWidth="9" defaultRowHeight="14"/>
  <cols>
    <col min="1" max="1" width="8.7265625" style="183" customWidth="1"/>
    <col min="2" max="2" width="69.6328125" style="183" bestFit="1" customWidth="1"/>
    <col min="3" max="3" width="42.26953125" style="183" bestFit="1" customWidth="1"/>
    <col min="4" max="4" width="32.6328125" style="183" bestFit="1" customWidth="1"/>
    <col min="5" max="5" width="42.08984375" style="183" customWidth="1"/>
    <col min="6" max="16384" width="9" style="183"/>
  </cols>
  <sheetData>
    <row r="1" spans="1:5" s="178" customFormat="1" ht="78.75" customHeight="1">
      <c r="A1" s="176" t="s">
        <v>257</v>
      </c>
      <c r="B1" s="176" t="s">
        <v>173</v>
      </c>
      <c r="C1" s="176" t="s">
        <v>174</v>
      </c>
      <c r="D1" s="176" t="s">
        <v>175</v>
      </c>
      <c r="E1" s="177" t="s">
        <v>954</v>
      </c>
    </row>
    <row r="2" spans="1:5" s="180" customFormat="1" ht="35" customHeight="1">
      <c r="A2" s="179">
        <v>1</v>
      </c>
      <c r="B2" s="175" t="s">
        <v>923</v>
      </c>
      <c r="C2" s="175" t="s">
        <v>939</v>
      </c>
      <c r="D2" s="175" t="s">
        <v>930</v>
      </c>
      <c r="E2" s="185" t="s">
        <v>949</v>
      </c>
    </row>
    <row r="3" spans="1:5" s="180" customFormat="1" ht="35" customHeight="1">
      <c r="A3" s="179">
        <v>2</v>
      </c>
      <c r="B3" s="175" t="s">
        <v>924</v>
      </c>
      <c r="C3" s="175" t="s">
        <v>940</v>
      </c>
      <c r="D3" s="175" t="s">
        <v>931</v>
      </c>
      <c r="E3" s="184" t="s">
        <v>953</v>
      </c>
    </row>
    <row r="4" spans="1:5" s="180" customFormat="1" ht="35" customHeight="1">
      <c r="A4" s="179">
        <v>3</v>
      </c>
      <c r="B4" s="175" t="s">
        <v>925</v>
      </c>
      <c r="C4" s="175" t="s">
        <v>932</v>
      </c>
      <c r="D4" s="175" t="s">
        <v>931</v>
      </c>
      <c r="E4" s="185" t="s">
        <v>950</v>
      </c>
    </row>
    <row r="5" spans="1:5" s="180" customFormat="1" ht="35" customHeight="1">
      <c r="A5" s="179">
        <v>4</v>
      </c>
      <c r="B5" s="175" t="s">
        <v>926</v>
      </c>
      <c r="C5" s="175" t="s">
        <v>941</v>
      </c>
      <c r="D5" s="175" t="s">
        <v>930</v>
      </c>
      <c r="E5" s="184" t="s">
        <v>944</v>
      </c>
    </row>
    <row r="6" spans="1:5" s="180" customFormat="1" ht="35" customHeight="1">
      <c r="A6" s="179">
        <v>5</v>
      </c>
      <c r="B6" s="175" t="s">
        <v>927</v>
      </c>
      <c r="C6" s="175" t="s">
        <v>933</v>
      </c>
      <c r="D6" s="175" t="s">
        <v>930</v>
      </c>
      <c r="E6" s="184" t="s">
        <v>945</v>
      </c>
    </row>
    <row r="7" spans="1:5" s="180" customFormat="1" ht="35" customHeight="1">
      <c r="A7" s="179">
        <v>6</v>
      </c>
      <c r="B7" s="175" t="s">
        <v>955</v>
      </c>
      <c r="C7" s="175" t="s">
        <v>934</v>
      </c>
      <c r="D7" s="175" t="s">
        <v>935</v>
      </c>
      <c r="E7" s="185" t="s">
        <v>947</v>
      </c>
    </row>
    <row r="8" spans="1:5" s="180" customFormat="1" ht="35" customHeight="1">
      <c r="A8" s="179">
        <v>7</v>
      </c>
      <c r="B8" s="175" t="s">
        <v>955</v>
      </c>
      <c r="C8" s="175" t="s">
        <v>936</v>
      </c>
      <c r="D8" s="175" t="s">
        <v>935</v>
      </c>
      <c r="E8" s="184" t="s">
        <v>946</v>
      </c>
    </row>
    <row r="9" spans="1:5" s="180" customFormat="1" ht="35" customHeight="1">
      <c r="A9" s="179">
        <v>8</v>
      </c>
      <c r="B9" s="175" t="s">
        <v>955</v>
      </c>
      <c r="C9" s="175" t="s">
        <v>937</v>
      </c>
      <c r="D9" s="175" t="s">
        <v>935</v>
      </c>
      <c r="E9" s="184" t="s">
        <v>948</v>
      </c>
    </row>
    <row r="10" spans="1:5" s="180" customFormat="1" ht="35" customHeight="1">
      <c r="A10" s="179">
        <v>9</v>
      </c>
      <c r="B10" s="175" t="s">
        <v>928</v>
      </c>
      <c r="C10" s="175" t="s">
        <v>942</v>
      </c>
      <c r="D10" s="175" t="s">
        <v>938</v>
      </c>
      <c r="E10" s="185" t="s">
        <v>952</v>
      </c>
    </row>
    <row r="11" spans="1:5" s="180" customFormat="1" ht="35" customHeight="1">
      <c r="A11" s="179">
        <v>10</v>
      </c>
      <c r="B11" s="175" t="s">
        <v>929</v>
      </c>
      <c r="C11" s="175" t="s">
        <v>943</v>
      </c>
      <c r="D11" s="175" t="s">
        <v>938</v>
      </c>
      <c r="E11" s="185" t="s">
        <v>951</v>
      </c>
    </row>
    <row r="12" spans="1:5" s="182" customFormat="1" ht="30" customHeight="1">
      <c r="E12" s="181"/>
    </row>
    <row r="13" spans="1:5" ht="30" customHeight="1">
      <c r="E13" s="181"/>
    </row>
    <row r="14" spans="1:5" ht="30" customHeight="1">
      <c r="E14" s="181"/>
    </row>
    <row r="15" spans="1:5" ht="30" customHeight="1"/>
  </sheetData>
  <autoFilter ref="A1:D13" xr:uid="{00000000-0009-0000-0000-000000000000}"/>
  <phoneticPr fontId="1"/>
  <hyperlinks>
    <hyperlink ref="E5" r:id="rId1" xr:uid="{08F5932C-0C8B-4308-9301-8F0D73168B72}"/>
    <hyperlink ref="E6" r:id="rId2" xr:uid="{6956F971-8286-4B5D-96EE-54DD389B6182}"/>
    <hyperlink ref="E8" r:id="rId3" xr:uid="{950B1DDC-5D46-45B3-9B48-99AB540AD3CB}"/>
    <hyperlink ref="E7" r:id="rId4" xr:uid="{E4585341-859B-4C5A-87B7-CF1BCBA11BA7}"/>
    <hyperlink ref="E9" r:id="rId5" xr:uid="{4ACC4D81-21CA-4753-A2CE-E5B4F121A4F3}"/>
    <hyperlink ref="E2" r:id="rId6" xr:uid="{8CE7849C-6DFE-490B-84AB-513FE484A389}"/>
    <hyperlink ref="E4" r:id="rId7" xr:uid="{B5CDB90B-EBC5-425D-B6AB-8F788CA21C47}"/>
    <hyperlink ref="E11" r:id="rId8" xr:uid="{D144FFD3-976B-4DBF-866C-4BE4AD39A6C9}"/>
    <hyperlink ref="E10" r:id="rId9" xr:uid="{6174C394-A8AB-4E0B-B41C-6E6BF04BA127}"/>
    <hyperlink ref="E3" r:id="rId10" xr:uid="{858499C1-329B-4A80-8B78-60C5760F5AA2}"/>
  </hyperlink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1" fitToHeight="0" orientation="landscape" r:id="rId11"/>
  <headerFooter>
    <oddHeader>&amp;C&amp;"BIZ UDPゴシック,標準"&amp;16令和５年度障害福祉分野のICT導入モデル事業　対象事業所一覧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  <pageSetUpPr fitToPage="1"/>
  </sheetPr>
  <dimension ref="A1:R16"/>
  <sheetViews>
    <sheetView view="pageBreakPreview" topLeftCell="H1" zoomScale="70" zoomScaleNormal="60" zoomScaleSheetLayoutView="70" workbookViewId="0">
      <pane ySplit="1" topLeftCell="A2" activePane="bottomLeft" state="frozen"/>
      <selection activeCell="AU25" sqref="AU25"/>
      <selection pane="bottomLeft" activeCell="O13" sqref="O13"/>
    </sheetView>
  </sheetViews>
  <sheetFormatPr defaultColWidth="9" defaultRowHeight="13" outlineLevelCol="1"/>
  <cols>
    <col min="1" max="1" width="8.7265625" style="21" customWidth="1"/>
    <col min="2" max="2" width="11.26953125" style="21" customWidth="1" outlineLevel="1"/>
    <col min="3" max="3" width="12.453125" style="21" customWidth="1" outlineLevel="1"/>
    <col min="4" max="4" width="50.26953125" style="20" customWidth="1"/>
    <col min="5" max="5" width="32.26953125" style="20" hidden="1" customWidth="1" outlineLevel="1"/>
    <col min="6" max="7" width="47.453125" style="20" hidden="1" customWidth="1" outlineLevel="1"/>
    <col min="8" max="8" width="40.7265625" style="22" customWidth="1" collapsed="1"/>
    <col min="9" max="9" width="33.08984375" style="20" customWidth="1"/>
    <col min="10" max="10" width="35.36328125" style="20" hidden="1" customWidth="1" outlineLevel="1"/>
    <col min="11" max="11" width="13.26953125" style="21" hidden="1" customWidth="1" outlineLevel="1"/>
    <col min="12" max="13" width="29.453125" style="20" hidden="1" customWidth="1" outlineLevel="1"/>
    <col min="14" max="14" width="33.90625" style="20" hidden="1" customWidth="1" outlineLevel="1"/>
    <col min="15" max="15" width="33.90625" style="20" customWidth="1" collapsed="1"/>
    <col min="16" max="16" width="33.90625" style="20" customWidth="1"/>
    <col min="17" max="17" width="46.90625" style="20" customWidth="1" outlineLevel="1"/>
    <col min="18" max="18" width="50" style="20" customWidth="1" outlineLevel="1"/>
    <col min="19" max="16384" width="9" style="20"/>
  </cols>
  <sheetData>
    <row r="1" spans="1:18" s="19" customFormat="1" ht="46.5" customHeight="1">
      <c r="A1" s="17" t="s">
        <v>257</v>
      </c>
      <c r="B1" s="17" t="s">
        <v>644</v>
      </c>
      <c r="C1" s="17" t="s">
        <v>645</v>
      </c>
      <c r="D1" s="17" t="s">
        <v>173</v>
      </c>
      <c r="E1" s="17" t="s">
        <v>584</v>
      </c>
      <c r="F1" s="17" t="s">
        <v>621</v>
      </c>
      <c r="G1" s="17" t="s">
        <v>620</v>
      </c>
      <c r="H1" s="17" t="s">
        <v>174</v>
      </c>
      <c r="I1" s="17" t="s">
        <v>175</v>
      </c>
      <c r="J1" s="17" t="s">
        <v>176</v>
      </c>
      <c r="K1" s="17" t="s">
        <v>177</v>
      </c>
      <c r="L1" s="17" t="s">
        <v>178</v>
      </c>
      <c r="M1" s="17" t="s">
        <v>625</v>
      </c>
      <c r="N1" s="78" t="s">
        <v>636</v>
      </c>
      <c r="O1" s="78" t="s">
        <v>637</v>
      </c>
      <c r="P1" s="78" t="s">
        <v>640</v>
      </c>
      <c r="Q1" s="78" t="s">
        <v>638</v>
      </c>
      <c r="R1" s="17" t="s">
        <v>179</v>
      </c>
    </row>
    <row r="2" spans="1:18" s="19" customFormat="1" ht="27.75" customHeight="1">
      <c r="A2" s="84">
        <v>1</v>
      </c>
      <c r="B2" s="24">
        <v>16</v>
      </c>
      <c r="C2" s="82">
        <v>44712</v>
      </c>
      <c r="D2" s="26" t="s">
        <v>631</v>
      </c>
      <c r="E2" s="26" t="s">
        <v>610</v>
      </c>
      <c r="F2" s="26" t="s">
        <v>302</v>
      </c>
      <c r="G2" s="26" t="s">
        <v>302</v>
      </c>
      <c r="H2" s="79" t="s">
        <v>188</v>
      </c>
      <c r="I2" s="26" t="s">
        <v>189</v>
      </c>
      <c r="J2" s="25"/>
      <c r="K2" s="27" t="s">
        <v>183</v>
      </c>
      <c r="L2" s="29">
        <v>187000</v>
      </c>
      <c r="M2" s="29">
        <f>ROUNDDOWN(QUOTIENT(PRODUCT(テーブル256[[#This Row],[国庫補助基本額【上限100万円】
（内示額）]],2),3),-3)</f>
        <v>187000</v>
      </c>
      <c r="N2" s="29">
        <v>281400</v>
      </c>
      <c r="O2" s="29">
        <v>281400</v>
      </c>
      <c r="P2" s="29">
        <f>ROUNDDOWN(テーブル256[[#This Row],[申請額]],-3)</f>
        <v>281000</v>
      </c>
      <c r="Q2" s="29" t="s">
        <v>639</v>
      </c>
      <c r="R2" s="28"/>
    </row>
    <row r="3" spans="1:18" s="19" customFormat="1" ht="27.75" customHeight="1">
      <c r="A3" s="84">
        <v>2</v>
      </c>
      <c r="B3" s="24">
        <v>17</v>
      </c>
      <c r="C3" s="82">
        <v>44721</v>
      </c>
      <c r="D3" s="26" t="s">
        <v>199</v>
      </c>
      <c r="E3" s="26" t="s">
        <v>646</v>
      </c>
      <c r="F3" s="26" t="s">
        <v>357</v>
      </c>
      <c r="G3" s="26" t="s">
        <v>357</v>
      </c>
      <c r="H3" s="79" t="s">
        <v>200</v>
      </c>
      <c r="I3" s="26" t="s">
        <v>189</v>
      </c>
      <c r="J3" s="25"/>
      <c r="K3" s="27" t="s">
        <v>183</v>
      </c>
      <c r="L3" s="29">
        <v>666000</v>
      </c>
      <c r="M3" s="29">
        <f>ROUNDDOWN(QUOTIENT(PRODUCT(テーブル256[[#This Row],[国庫補助基本額【上限100万円】
（内示額）]],2),3),-3)</f>
        <v>666000</v>
      </c>
      <c r="N3" s="29">
        <v>1000000</v>
      </c>
      <c r="O3" s="29">
        <v>1000000</v>
      </c>
      <c r="P3" s="29">
        <f>ROUNDDOWN(テーブル256[[#This Row],[申請額]],-3)</f>
        <v>1000000</v>
      </c>
      <c r="Q3" s="29" t="s">
        <v>639</v>
      </c>
      <c r="R3" s="28"/>
    </row>
    <row r="4" spans="1:18" s="19" customFormat="1" ht="27.75" customHeight="1">
      <c r="A4" s="84">
        <v>3</v>
      </c>
      <c r="B4" s="24">
        <v>18</v>
      </c>
      <c r="C4" s="82">
        <v>44721</v>
      </c>
      <c r="D4" s="26" t="s">
        <v>199</v>
      </c>
      <c r="E4" s="26" t="s">
        <v>646</v>
      </c>
      <c r="F4" s="26" t="s">
        <v>357</v>
      </c>
      <c r="G4" s="26" t="s">
        <v>357</v>
      </c>
      <c r="H4" s="79" t="s">
        <v>203</v>
      </c>
      <c r="I4" s="26" t="s">
        <v>189</v>
      </c>
      <c r="J4" s="25"/>
      <c r="K4" s="27" t="s">
        <v>183</v>
      </c>
      <c r="L4" s="29">
        <v>666000</v>
      </c>
      <c r="M4" s="29">
        <f>ROUNDDOWN(QUOTIENT(PRODUCT(テーブル256[[#This Row],[国庫補助基本額【上限100万円】
（内示額）]],2),3),-3)</f>
        <v>666000</v>
      </c>
      <c r="N4" s="29">
        <v>1000000</v>
      </c>
      <c r="O4" s="29">
        <v>1000000</v>
      </c>
      <c r="P4" s="29">
        <f>ROUNDDOWN(テーブル256[[#This Row],[申請額]],-3)</f>
        <v>1000000</v>
      </c>
      <c r="Q4" s="29" t="s">
        <v>639</v>
      </c>
      <c r="R4" s="28"/>
    </row>
    <row r="5" spans="1:18" s="19" customFormat="1" ht="27.75" customHeight="1">
      <c r="A5" s="84">
        <v>4</v>
      </c>
      <c r="B5" s="24">
        <v>19</v>
      </c>
      <c r="C5" s="82">
        <v>44721</v>
      </c>
      <c r="D5" s="26" t="s">
        <v>199</v>
      </c>
      <c r="E5" s="26" t="s">
        <v>646</v>
      </c>
      <c r="F5" s="26" t="s">
        <v>357</v>
      </c>
      <c r="G5" s="26" t="s">
        <v>357</v>
      </c>
      <c r="H5" s="79" t="s">
        <v>204</v>
      </c>
      <c r="I5" s="26" t="s">
        <v>189</v>
      </c>
      <c r="J5" s="25"/>
      <c r="K5" s="27" t="s">
        <v>183</v>
      </c>
      <c r="L5" s="29">
        <v>666000</v>
      </c>
      <c r="M5" s="29">
        <f>ROUNDDOWN(QUOTIENT(PRODUCT(テーブル256[[#This Row],[国庫補助基本額【上限100万円】
（内示額）]],2),3),-3)</f>
        <v>666000</v>
      </c>
      <c r="N5" s="29">
        <v>1000000</v>
      </c>
      <c r="O5" s="29">
        <v>1000000</v>
      </c>
      <c r="P5" s="29">
        <f>ROUNDDOWN(テーブル256[[#This Row],[申請額]],-3)</f>
        <v>1000000</v>
      </c>
      <c r="Q5" s="29" t="s">
        <v>639</v>
      </c>
      <c r="R5" s="28"/>
    </row>
    <row r="6" spans="1:18" s="19" customFormat="1" ht="27.75" customHeight="1">
      <c r="A6" s="84">
        <v>5</v>
      </c>
      <c r="B6" s="24">
        <v>20</v>
      </c>
      <c r="C6" s="82">
        <v>44720</v>
      </c>
      <c r="D6" s="26" t="s">
        <v>190</v>
      </c>
      <c r="E6" s="26" t="s">
        <v>648</v>
      </c>
      <c r="F6" s="26" t="s">
        <v>310</v>
      </c>
      <c r="G6" s="26" t="s">
        <v>341</v>
      </c>
      <c r="H6" s="79" t="s">
        <v>191</v>
      </c>
      <c r="I6" s="26" t="s">
        <v>75</v>
      </c>
      <c r="J6" s="25"/>
      <c r="K6" s="27" t="s">
        <v>183</v>
      </c>
      <c r="L6" s="29">
        <v>666000</v>
      </c>
      <c r="M6" s="29">
        <f>ROUNDDOWN(QUOTIENT(PRODUCT(テーブル256[[#This Row],[国庫補助基本額【上限100万円】
（内示額）]],2),3),-3)</f>
        <v>666000</v>
      </c>
      <c r="N6" s="29">
        <v>1000000</v>
      </c>
      <c r="O6" s="29">
        <v>1000000</v>
      </c>
      <c r="P6" s="29">
        <f>ROUNDDOWN(テーブル256[[#This Row],[申請額]],-3)</f>
        <v>1000000</v>
      </c>
      <c r="Q6" s="29" t="s">
        <v>643</v>
      </c>
      <c r="R6" s="28"/>
    </row>
    <row r="7" spans="1:18" s="19" customFormat="1" ht="38.25" customHeight="1">
      <c r="A7" s="84">
        <v>6</v>
      </c>
      <c r="B7" s="24">
        <v>21</v>
      </c>
      <c r="C7" s="82">
        <v>44720</v>
      </c>
      <c r="D7" s="26" t="s">
        <v>190</v>
      </c>
      <c r="E7" s="26" t="s">
        <v>648</v>
      </c>
      <c r="F7" s="26" t="s">
        <v>341</v>
      </c>
      <c r="G7" s="26" t="s">
        <v>341</v>
      </c>
      <c r="H7" s="79" t="s">
        <v>198</v>
      </c>
      <c r="I7" s="26" t="s">
        <v>75</v>
      </c>
      <c r="J7" s="25"/>
      <c r="K7" s="27" t="s">
        <v>183</v>
      </c>
      <c r="L7" s="29">
        <v>338000</v>
      </c>
      <c r="M7" s="29">
        <f>ROUNDDOWN(QUOTIENT(PRODUCT(テーブル256[[#This Row],[国庫補助基本額【上限100万円】
（内示額）]],2),3),-3)</f>
        <v>338000</v>
      </c>
      <c r="N7" s="29">
        <v>507540</v>
      </c>
      <c r="O7" s="29">
        <v>507540</v>
      </c>
      <c r="P7" s="29">
        <f>ROUNDDOWN(テーブル256[[#This Row],[申請額]],-3)</f>
        <v>507000</v>
      </c>
      <c r="Q7" s="81" t="s">
        <v>652</v>
      </c>
      <c r="R7" s="28"/>
    </row>
    <row r="8" spans="1:18" s="19" customFormat="1" ht="96.75" customHeight="1">
      <c r="A8" s="84">
        <v>7</v>
      </c>
      <c r="B8" s="24">
        <v>22</v>
      </c>
      <c r="C8" s="82">
        <v>44728</v>
      </c>
      <c r="D8" s="26" t="s">
        <v>185</v>
      </c>
      <c r="E8" s="26" t="s">
        <v>598</v>
      </c>
      <c r="F8" s="26" t="s">
        <v>295</v>
      </c>
      <c r="G8" s="26" t="s">
        <v>295</v>
      </c>
      <c r="H8" s="79" t="s">
        <v>196</v>
      </c>
      <c r="I8" s="26" t="s">
        <v>189</v>
      </c>
      <c r="J8" s="25"/>
      <c r="K8" s="27" t="s">
        <v>183</v>
      </c>
      <c r="L8" s="29">
        <v>666000</v>
      </c>
      <c r="M8" s="29">
        <f>ROUNDDOWN(QUOTIENT(PRODUCT(テーブル256[[#This Row],[国庫補助基本額【上限100万円】
（内示額）]],2),3),-3)</f>
        <v>666000</v>
      </c>
      <c r="N8" s="29">
        <v>1000000</v>
      </c>
      <c r="O8" s="29">
        <v>1000000</v>
      </c>
      <c r="P8" s="29">
        <f>ROUNDDOWN(テーブル256[[#This Row],[申請額]],-3)</f>
        <v>1000000</v>
      </c>
      <c r="Q8" s="81" t="s">
        <v>650</v>
      </c>
      <c r="R8" s="28"/>
    </row>
    <row r="9" spans="1:18" s="19" customFormat="1" ht="96.75" customHeight="1">
      <c r="A9" s="84">
        <v>8</v>
      </c>
      <c r="B9" s="24">
        <v>23</v>
      </c>
      <c r="C9" s="82">
        <v>44728</v>
      </c>
      <c r="D9" s="26" t="s">
        <v>185</v>
      </c>
      <c r="E9" s="26" t="s">
        <v>598</v>
      </c>
      <c r="F9" s="26" t="s">
        <v>295</v>
      </c>
      <c r="G9" s="26" t="s">
        <v>295</v>
      </c>
      <c r="H9" s="79" t="s">
        <v>259</v>
      </c>
      <c r="I9" s="26" t="s">
        <v>75</v>
      </c>
      <c r="J9" s="25"/>
      <c r="K9" s="27" t="s">
        <v>183</v>
      </c>
      <c r="L9" s="29">
        <v>666000</v>
      </c>
      <c r="M9" s="29">
        <f>ROUNDDOWN(QUOTIENT(PRODUCT(テーブル256[[#This Row],[国庫補助基本額【上限100万円】
（内示額）]],2),3),-3)</f>
        <v>666000</v>
      </c>
      <c r="N9" s="29">
        <v>1000000</v>
      </c>
      <c r="O9" s="29">
        <v>1000000</v>
      </c>
      <c r="P9" s="29">
        <f>ROUNDDOWN(テーブル256[[#This Row],[申請額]],-3)</f>
        <v>1000000</v>
      </c>
      <c r="Q9" s="81" t="s">
        <v>650</v>
      </c>
      <c r="R9" s="28"/>
    </row>
    <row r="10" spans="1:18" s="19" customFormat="1" ht="96.75" customHeight="1">
      <c r="A10" s="84">
        <v>9</v>
      </c>
      <c r="B10" s="24">
        <v>24</v>
      </c>
      <c r="C10" s="82">
        <v>44728</v>
      </c>
      <c r="D10" s="26" t="s">
        <v>185</v>
      </c>
      <c r="E10" s="26" t="s">
        <v>598</v>
      </c>
      <c r="F10" s="26" t="s">
        <v>295</v>
      </c>
      <c r="G10" s="26" t="s">
        <v>295</v>
      </c>
      <c r="H10" s="79" t="s">
        <v>197</v>
      </c>
      <c r="I10" s="26" t="s">
        <v>75</v>
      </c>
      <c r="J10" s="25"/>
      <c r="K10" s="27" t="s">
        <v>183</v>
      </c>
      <c r="L10" s="29">
        <v>666000</v>
      </c>
      <c r="M10" s="29">
        <f>ROUNDDOWN(QUOTIENT(PRODUCT(テーブル256[[#This Row],[国庫補助基本額【上限100万円】
（内示額）]],2),3),-3)</f>
        <v>666000</v>
      </c>
      <c r="N10" s="29">
        <v>1000000</v>
      </c>
      <c r="O10" s="29">
        <v>1000000</v>
      </c>
      <c r="P10" s="29">
        <f>ROUNDDOWN(テーブル256[[#This Row],[申請額]],-3)</f>
        <v>1000000</v>
      </c>
      <c r="Q10" s="81" t="s">
        <v>650</v>
      </c>
      <c r="R10" s="28"/>
    </row>
    <row r="11" spans="1:18" s="19" customFormat="1" ht="27.75" customHeight="1">
      <c r="A11" s="84">
        <v>10</v>
      </c>
      <c r="B11" s="24">
        <v>25</v>
      </c>
      <c r="C11" s="82">
        <v>44725</v>
      </c>
      <c r="D11" s="26" t="s">
        <v>113</v>
      </c>
      <c r="E11" s="26" t="s">
        <v>597</v>
      </c>
      <c r="F11" s="26" t="s">
        <v>350</v>
      </c>
      <c r="G11" s="26" t="s">
        <v>623</v>
      </c>
      <c r="H11" s="79" t="s">
        <v>589</v>
      </c>
      <c r="I11" s="26" t="s">
        <v>189</v>
      </c>
      <c r="J11" s="25"/>
      <c r="K11" s="27" t="s">
        <v>183</v>
      </c>
      <c r="L11" s="29">
        <v>446000</v>
      </c>
      <c r="M11" s="29">
        <f>ROUNDDOWN(QUOTIENT(PRODUCT(テーブル256[[#This Row],[国庫補助基本額【上限100万円】
（内示額）]],2),3),-3)</f>
        <v>446000</v>
      </c>
      <c r="N11" s="29">
        <v>670450</v>
      </c>
      <c r="O11" s="29">
        <v>670450</v>
      </c>
      <c r="P11" s="29">
        <f>ROUNDDOWN(テーブル256[[#This Row],[申請額]],-3)</f>
        <v>670000</v>
      </c>
      <c r="Q11" s="29" t="s">
        <v>643</v>
      </c>
      <c r="R11" s="28"/>
    </row>
    <row r="12" spans="1:18" s="19" customFormat="1" ht="51.75" customHeight="1">
      <c r="A12" s="84">
        <v>11</v>
      </c>
      <c r="B12" s="24">
        <v>26</v>
      </c>
      <c r="C12" s="82">
        <v>44725</v>
      </c>
      <c r="D12" s="26" t="s">
        <v>113</v>
      </c>
      <c r="E12" s="26" t="s">
        <v>596</v>
      </c>
      <c r="F12" s="26" t="s">
        <v>116</v>
      </c>
      <c r="G12" s="26" t="s">
        <v>623</v>
      </c>
      <c r="H12" s="79" t="s">
        <v>117</v>
      </c>
      <c r="I12" s="26" t="s">
        <v>110</v>
      </c>
      <c r="J12" s="25"/>
      <c r="K12" s="27" t="s">
        <v>183</v>
      </c>
      <c r="L12" s="29">
        <v>517000</v>
      </c>
      <c r="M12" s="29">
        <f>ROUNDDOWN(QUOTIENT(PRODUCT(テーブル256[[#This Row],[国庫補助基本額【上限100万円】
（内示額）]],2),3),-3)</f>
        <v>517000</v>
      </c>
      <c r="N12" s="29">
        <v>776820</v>
      </c>
      <c r="O12" s="29">
        <v>776820</v>
      </c>
      <c r="P12" s="29">
        <f>ROUNDDOWN(テーブル256[[#This Row],[申請額]],-3)</f>
        <v>776000</v>
      </c>
      <c r="Q12" s="81" t="s">
        <v>642</v>
      </c>
      <c r="R12" s="28"/>
    </row>
    <row r="13" spans="1:18" s="19" customFormat="1" ht="98.25" customHeight="1">
      <c r="A13" s="84">
        <v>12</v>
      </c>
      <c r="B13" s="24">
        <v>27</v>
      </c>
      <c r="C13" s="82">
        <v>44725</v>
      </c>
      <c r="D13" s="26" t="s">
        <v>113</v>
      </c>
      <c r="E13" s="26" t="s">
        <v>596</v>
      </c>
      <c r="F13" s="26" t="s">
        <v>116</v>
      </c>
      <c r="G13" s="26" t="s">
        <v>623</v>
      </c>
      <c r="H13" s="79" t="s">
        <v>184</v>
      </c>
      <c r="I13" s="26" t="s">
        <v>75</v>
      </c>
      <c r="J13" s="25"/>
      <c r="K13" s="27" t="s">
        <v>183</v>
      </c>
      <c r="L13" s="29">
        <v>666000</v>
      </c>
      <c r="M13" s="29">
        <f>ROUNDDOWN(QUOTIENT(PRODUCT(テーブル256[[#This Row],[国庫補助基本額【上限100万円】
（内示額）]],2),3),-3)</f>
        <v>666000</v>
      </c>
      <c r="N13" s="29">
        <v>1000000</v>
      </c>
      <c r="O13" s="29">
        <v>1000000</v>
      </c>
      <c r="P13" s="29">
        <f>ROUNDDOWN(テーブル256[[#This Row],[申請額]],-3)</f>
        <v>1000000</v>
      </c>
      <c r="Q13" s="81" t="s">
        <v>653</v>
      </c>
      <c r="R13" s="28"/>
    </row>
    <row r="14" spans="1:18" s="19" customFormat="1" ht="27.75" customHeight="1">
      <c r="A14" s="84">
        <v>13</v>
      </c>
      <c r="B14" s="24">
        <v>28</v>
      </c>
      <c r="C14" s="82">
        <v>44725</v>
      </c>
      <c r="D14" s="26" t="s">
        <v>633</v>
      </c>
      <c r="E14" s="26" t="s">
        <v>647</v>
      </c>
      <c r="F14" s="26" t="s">
        <v>274</v>
      </c>
      <c r="G14" s="26" t="s">
        <v>274</v>
      </c>
      <c r="H14" s="79" t="s">
        <v>182</v>
      </c>
      <c r="I14" s="26" t="s">
        <v>75</v>
      </c>
      <c r="J14" s="25"/>
      <c r="K14" s="27" t="s">
        <v>183</v>
      </c>
      <c r="L14" s="29">
        <v>560000</v>
      </c>
      <c r="M14" s="29">
        <f>ROUNDDOWN(QUOTIENT(PRODUCT(テーブル256[[#This Row],[国庫補助基本額【上限100万円】
（内示額）]],2),3),-3)</f>
        <v>560000</v>
      </c>
      <c r="N14" s="29">
        <v>841030</v>
      </c>
      <c r="O14" s="29">
        <v>747130</v>
      </c>
      <c r="P14" s="29">
        <f>ROUNDDOWN(テーブル256[[#This Row],[申請額]],-3)</f>
        <v>747000</v>
      </c>
      <c r="Q14" s="29" t="s">
        <v>641</v>
      </c>
      <c r="R14" s="28"/>
    </row>
    <row r="15" spans="1:18" s="19" customFormat="1" ht="146.25" customHeight="1">
      <c r="A15" s="84">
        <v>14</v>
      </c>
      <c r="B15" s="24">
        <v>29</v>
      </c>
      <c r="C15" s="83" t="s">
        <v>649</v>
      </c>
      <c r="D15" s="26" t="s">
        <v>201</v>
      </c>
      <c r="E15" s="58" t="s">
        <v>592</v>
      </c>
      <c r="F15" s="26" t="s">
        <v>364</v>
      </c>
      <c r="G15" s="26" t="s">
        <v>364</v>
      </c>
      <c r="H15" s="79" t="s">
        <v>202</v>
      </c>
      <c r="I15" s="26" t="s">
        <v>75</v>
      </c>
      <c r="J15" s="25"/>
      <c r="K15" s="27" t="s">
        <v>183</v>
      </c>
      <c r="L15" s="29">
        <v>666000</v>
      </c>
      <c r="M15" s="29">
        <f>ROUNDDOWN(QUOTIENT(PRODUCT(テーブル256[[#This Row],[国庫補助基本額【上限100万円】
（内示額）]],2),3),-3)</f>
        <v>666000</v>
      </c>
      <c r="N15" s="29">
        <v>1000000</v>
      </c>
      <c r="O15" s="29"/>
      <c r="P15" s="29">
        <f>ROUNDDOWN(テーブル256[[#This Row],[申請額]],-3)</f>
        <v>0</v>
      </c>
      <c r="Q15" s="81" t="s">
        <v>651</v>
      </c>
      <c r="R15" s="28"/>
    </row>
    <row r="16" spans="1:18" ht="27.75" customHeight="1">
      <c r="A16" s="67"/>
      <c r="B16" s="67"/>
      <c r="C16" s="67"/>
      <c r="D16" s="67"/>
      <c r="E16" s="67"/>
      <c r="F16" s="67"/>
      <c r="G16" s="67"/>
      <c r="H16" s="67"/>
      <c r="I16" s="67"/>
      <c r="J16" s="77"/>
      <c r="K16" s="67"/>
      <c r="L16" s="80">
        <f>SUBTOTAL(109,テーブル256[参考：　採択（予定）金額])</f>
        <v>8042000</v>
      </c>
      <c r="M16" s="80">
        <f>SUBTOTAL(109,テーブル256[検算])</f>
        <v>8042000</v>
      </c>
      <c r="N16" s="80">
        <f>SUBTOTAL(109,テーブル256[国庫補助基本額【上限100万円】
（内示額）])</f>
        <v>12077240</v>
      </c>
      <c r="O16" s="80">
        <f>SUBTOTAL(109,テーブル256[申請額])</f>
        <v>10983340</v>
      </c>
      <c r="P16" s="80">
        <f>SUBTOTAL(109,テーブル256[交付決定額])</f>
        <v>10981000</v>
      </c>
      <c r="Q16" s="67"/>
      <c r="R16" s="67"/>
    </row>
  </sheetData>
  <phoneticPr fontId="9"/>
  <dataValidations count="2">
    <dataValidation type="list" allowBlank="1" showInputMessage="1" showErrorMessage="1" sqref="K2:K15" xr:uid="{00000000-0002-0000-0900-000000000000}">
      <formula1>"○,×"</formula1>
    </dataValidation>
    <dataValidation type="list" allowBlank="1" showInputMessage="1" showErrorMessage="1" sqref="J2:J15" xr:uid="{00000000-0002-0000-0900-000001000000}">
      <formula1>"１位,２位,３位"</formula1>
    </dataValidation>
  </dataValidations>
  <hyperlinks>
    <hyperlink ref="G11" r:id="rId1" xr:uid="{00000000-0004-0000-0900-000000000000}"/>
  </hyperlinks>
  <pageMargins left="0.70866141732283472" right="0.70866141732283472" top="0.74803149606299213" bottom="0.74803149606299213" header="0.31496062992125984" footer="0.31496062992125984"/>
  <pageSetup paperSize="8" scale="61" fitToHeight="0" orientation="landscape" r:id="rId2"/>
  <headerFooter>
    <oddHeader>&amp;C&amp;"BIZ UDPゴシック,標準"&amp;16令和4年度障害福祉分野のICT導入モデル事業　対象事業所一覧</oddHeader>
  </headerFooter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rgb="FFC00000"/>
    <pageSetUpPr fitToPage="1"/>
  </sheetPr>
  <dimension ref="A1:O51"/>
  <sheetViews>
    <sheetView view="pageBreakPreview" zoomScale="70" zoomScaleNormal="60" zoomScaleSheetLayoutView="70" workbookViewId="0">
      <pane ySplit="1" topLeftCell="A11" activePane="bottomLeft" state="frozen"/>
      <selection activeCell="AU25" sqref="AU25"/>
      <selection pane="bottomLeft" activeCell="G21" sqref="G21"/>
    </sheetView>
  </sheetViews>
  <sheetFormatPr defaultColWidth="9" defaultRowHeight="13" outlineLevelCol="1"/>
  <cols>
    <col min="1" max="1" width="8.7265625" style="21" customWidth="1"/>
    <col min="2" max="2" width="8.7265625" style="21" hidden="1" customWidth="1" outlineLevel="1"/>
    <col min="3" max="3" width="17.453125" style="21" hidden="1" customWidth="1" outlineLevel="1"/>
    <col min="4" max="4" width="50.26953125" style="20" customWidth="1" collapsed="1"/>
    <col min="5" max="5" width="32.26953125" style="20" customWidth="1"/>
    <col min="6" max="6" width="47.453125" style="20" hidden="1" customWidth="1" outlineLevel="1"/>
    <col min="7" max="7" width="47.453125" style="20" customWidth="1" collapsed="1"/>
    <col min="8" max="8" width="65.26953125" style="22" customWidth="1"/>
    <col min="9" max="9" width="35.36328125" style="20" customWidth="1"/>
    <col min="10" max="10" width="35.36328125" style="20" hidden="1" customWidth="1" outlineLevel="1"/>
    <col min="11" max="11" width="13.26953125" style="21" customWidth="1" collapsed="1"/>
    <col min="12" max="12" width="29.453125" style="20" customWidth="1"/>
    <col min="13" max="13" width="29.453125" style="20" hidden="1" customWidth="1" outlineLevel="1"/>
    <col min="14" max="14" width="33.90625" style="20" customWidth="1" collapsed="1"/>
    <col min="15" max="15" width="92" style="20" bestFit="1" customWidth="1"/>
    <col min="16" max="16384" width="9" style="20"/>
  </cols>
  <sheetData>
    <row r="1" spans="1:15" s="19" customFormat="1" ht="37.5" customHeight="1">
      <c r="A1" s="17" t="s">
        <v>257</v>
      </c>
      <c r="B1" s="17" t="s">
        <v>622</v>
      </c>
      <c r="C1" s="17" t="s">
        <v>172</v>
      </c>
      <c r="D1" s="17" t="s">
        <v>173</v>
      </c>
      <c r="E1" s="17" t="s">
        <v>584</v>
      </c>
      <c r="F1" s="17" t="s">
        <v>621</v>
      </c>
      <c r="G1" s="17" t="s">
        <v>620</v>
      </c>
      <c r="H1" s="17" t="s">
        <v>174</v>
      </c>
      <c r="I1" s="17" t="s">
        <v>175</v>
      </c>
      <c r="J1" s="17" t="s">
        <v>176</v>
      </c>
      <c r="K1" s="17" t="s">
        <v>177</v>
      </c>
      <c r="L1" s="17" t="s">
        <v>178</v>
      </c>
      <c r="M1" s="17" t="s">
        <v>625</v>
      </c>
      <c r="N1" s="17" t="s">
        <v>265</v>
      </c>
      <c r="O1" s="17" t="s">
        <v>179</v>
      </c>
    </row>
    <row r="2" spans="1:15" s="19" customFormat="1" ht="27.75" customHeight="1">
      <c r="A2" s="24">
        <v>1</v>
      </c>
      <c r="B2" s="24">
        <v>1</v>
      </c>
      <c r="C2" s="25" t="s">
        <v>180</v>
      </c>
      <c r="D2" s="26" t="s">
        <v>218</v>
      </c>
      <c r="E2" s="26" t="s">
        <v>612</v>
      </c>
      <c r="F2" s="26" t="s">
        <v>458</v>
      </c>
      <c r="G2" s="26" t="s">
        <v>458</v>
      </c>
      <c r="H2" s="26" t="s">
        <v>219</v>
      </c>
      <c r="I2" s="26" t="s">
        <v>207</v>
      </c>
      <c r="J2" s="25"/>
      <c r="K2" s="27" t="s">
        <v>183</v>
      </c>
      <c r="L2" s="29">
        <v>121000</v>
      </c>
      <c r="M2" s="29">
        <f>ROUNDDOWN(QUOTIENT(PRODUCT(テーブル25[[#This Row],[国庫補助基本額【上限100万円】]],2),3),-3)</f>
        <v>121000</v>
      </c>
      <c r="N2" s="29">
        <v>182912</v>
      </c>
      <c r="O2" s="28"/>
    </row>
    <row r="3" spans="1:15" s="19" customFormat="1" ht="27.75" customHeight="1">
      <c r="A3" s="24">
        <v>2</v>
      </c>
      <c r="B3" s="24">
        <v>2</v>
      </c>
      <c r="C3" s="25" t="s">
        <v>180</v>
      </c>
      <c r="D3" s="26" t="s">
        <v>224</v>
      </c>
      <c r="E3" s="26" t="s">
        <v>604</v>
      </c>
      <c r="F3" s="26" t="s">
        <v>394</v>
      </c>
      <c r="G3" s="26" t="s">
        <v>634</v>
      </c>
      <c r="H3" s="26" t="s">
        <v>225</v>
      </c>
      <c r="I3" s="26" t="s">
        <v>226</v>
      </c>
      <c r="J3" s="25"/>
      <c r="K3" s="27" t="s">
        <v>183</v>
      </c>
      <c r="L3" s="29">
        <v>666000</v>
      </c>
      <c r="M3" s="29">
        <f>ROUNDDOWN(QUOTIENT(PRODUCT(テーブル25[[#This Row],[国庫補助基本額【上限100万円】]],2),3),-3)</f>
        <v>666000</v>
      </c>
      <c r="N3" s="29">
        <v>1000000</v>
      </c>
      <c r="O3" s="28"/>
    </row>
    <row r="4" spans="1:15" s="19" customFormat="1" ht="27.75" customHeight="1">
      <c r="A4" s="24">
        <v>3</v>
      </c>
      <c r="B4" s="24">
        <v>3</v>
      </c>
      <c r="C4" s="25" t="s">
        <v>180</v>
      </c>
      <c r="D4" s="26" t="s">
        <v>608</v>
      </c>
      <c r="E4" s="26" t="s">
        <v>605</v>
      </c>
      <c r="F4" s="26" t="s">
        <v>407</v>
      </c>
      <c r="G4" s="26" t="s">
        <v>407</v>
      </c>
      <c r="H4" s="26" t="s">
        <v>211</v>
      </c>
      <c r="I4" s="26" t="s">
        <v>212</v>
      </c>
      <c r="J4" s="25"/>
      <c r="K4" s="27" t="s">
        <v>183</v>
      </c>
      <c r="L4" s="29">
        <v>516000</v>
      </c>
      <c r="M4" s="29">
        <f>ROUNDDOWN(QUOTIENT(PRODUCT(テーブル25[[#This Row],[国庫補助基本額【上限100万円】]],2),3),-3)</f>
        <v>516000</v>
      </c>
      <c r="N4" s="29">
        <v>774060</v>
      </c>
      <c r="O4" s="28"/>
    </row>
    <row r="5" spans="1:15" s="19" customFormat="1" ht="27.75" customHeight="1">
      <c r="A5" s="24">
        <v>4</v>
      </c>
      <c r="B5" s="24">
        <v>4</v>
      </c>
      <c r="C5" s="25" t="s">
        <v>180</v>
      </c>
      <c r="D5" s="26" t="s">
        <v>216</v>
      </c>
      <c r="E5" s="26" t="s">
        <v>606</v>
      </c>
      <c r="F5" s="26" t="s">
        <v>437</v>
      </c>
      <c r="G5" s="26" t="s">
        <v>437</v>
      </c>
      <c r="H5" s="26" t="s">
        <v>435</v>
      </c>
      <c r="I5" s="26" t="s">
        <v>212</v>
      </c>
      <c r="J5" s="25"/>
      <c r="K5" s="27" t="s">
        <v>183</v>
      </c>
      <c r="L5" s="29">
        <v>144000</v>
      </c>
      <c r="M5" s="29">
        <f>ROUNDDOWN(QUOTIENT(PRODUCT(テーブル25[[#This Row],[国庫補助基本額【上限100万円】]],2),3),-3)</f>
        <v>144000</v>
      </c>
      <c r="N5" s="29">
        <v>216474</v>
      </c>
      <c r="O5" s="28"/>
    </row>
    <row r="6" spans="1:15" s="19" customFormat="1" ht="27.75" customHeight="1">
      <c r="A6" s="24">
        <v>5</v>
      </c>
      <c r="B6" s="24">
        <v>5</v>
      </c>
      <c r="C6" s="25" t="s">
        <v>180</v>
      </c>
      <c r="D6" s="26" t="s">
        <v>607</v>
      </c>
      <c r="E6" s="26" t="s">
        <v>609</v>
      </c>
      <c r="F6" s="26" t="s">
        <v>417</v>
      </c>
      <c r="H6" s="26" t="s">
        <v>213</v>
      </c>
      <c r="I6" s="26" t="s">
        <v>207</v>
      </c>
      <c r="J6" s="25"/>
      <c r="K6" s="27" t="s">
        <v>183</v>
      </c>
      <c r="L6" s="29">
        <v>666000</v>
      </c>
      <c r="M6" s="29">
        <f>ROUNDDOWN(QUOTIENT(PRODUCT(テーブル25[[#This Row],[国庫補助基本額【上限100万円】]],2),3),-3)</f>
        <v>666000</v>
      </c>
      <c r="N6" s="29">
        <v>1000000</v>
      </c>
      <c r="O6" s="28"/>
    </row>
    <row r="7" spans="1:15" s="19" customFormat="1" ht="27.75" customHeight="1">
      <c r="A7" s="24">
        <v>6</v>
      </c>
      <c r="B7" s="24">
        <v>6</v>
      </c>
      <c r="C7" s="25" t="s">
        <v>186</v>
      </c>
      <c r="D7" s="26" t="s">
        <v>631</v>
      </c>
      <c r="E7" s="26" t="s">
        <v>610</v>
      </c>
      <c r="F7" s="26" t="s">
        <v>302</v>
      </c>
      <c r="G7" s="26" t="s">
        <v>302</v>
      </c>
      <c r="H7" s="26" t="s">
        <v>188</v>
      </c>
      <c r="I7" s="26" t="s">
        <v>189</v>
      </c>
      <c r="J7" s="25"/>
      <c r="K7" s="27" t="s">
        <v>183</v>
      </c>
      <c r="L7" s="29">
        <v>187000</v>
      </c>
      <c r="M7" s="29">
        <f>ROUNDDOWN(QUOTIENT(PRODUCT(テーブル25[[#This Row],[国庫補助基本額【上限100万円】]],2),3),-3)</f>
        <v>187000</v>
      </c>
      <c r="N7" s="29">
        <v>281400</v>
      </c>
      <c r="O7" s="28"/>
    </row>
    <row r="8" spans="1:15" s="19" customFormat="1" ht="27.75" customHeight="1">
      <c r="A8" s="24">
        <v>7</v>
      </c>
      <c r="B8" s="24">
        <v>7</v>
      </c>
      <c r="C8" s="25" t="s">
        <v>180</v>
      </c>
      <c r="D8" s="26" t="s">
        <v>199</v>
      </c>
      <c r="E8" s="26" t="s">
        <v>591</v>
      </c>
      <c r="F8" s="26" t="s">
        <v>357</v>
      </c>
      <c r="G8" s="26" t="s">
        <v>357</v>
      </c>
      <c r="H8" s="26" t="s">
        <v>200</v>
      </c>
      <c r="I8" s="26" t="s">
        <v>189</v>
      </c>
      <c r="J8" s="25"/>
      <c r="K8" s="27" t="s">
        <v>183</v>
      </c>
      <c r="L8" s="29">
        <v>666000</v>
      </c>
      <c r="M8" s="29">
        <f>ROUNDDOWN(QUOTIENT(PRODUCT(テーブル25[[#This Row],[国庫補助基本額【上限100万円】]],2),3),-3)</f>
        <v>666000</v>
      </c>
      <c r="N8" s="29">
        <v>1000000</v>
      </c>
      <c r="O8" s="28"/>
    </row>
    <row r="9" spans="1:15" s="19" customFormat="1" ht="27.75" customHeight="1">
      <c r="A9" s="24">
        <v>8</v>
      </c>
      <c r="B9" s="24"/>
      <c r="C9" s="25" t="s">
        <v>180</v>
      </c>
      <c r="D9" s="26" t="s">
        <v>199</v>
      </c>
      <c r="E9" s="26" t="s">
        <v>591</v>
      </c>
      <c r="F9" s="26" t="s">
        <v>357</v>
      </c>
      <c r="G9" s="26" t="s">
        <v>357</v>
      </c>
      <c r="H9" s="26" t="s">
        <v>203</v>
      </c>
      <c r="I9" s="26" t="s">
        <v>189</v>
      </c>
      <c r="J9" s="25"/>
      <c r="K9" s="27" t="s">
        <v>183</v>
      </c>
      <c r="L9" s="29">
        <v>666000</v>
      </c>
      <c r="M9" s="29">
        <f>ROUNDDOWN(QUOTIENT(PRODUCT(テーブル25[[#This Row],[国庫補助基本額【上限100万円】]],2),3),-3)</f>
        <v>666000</v>
      </c>
      <c r="N9" s="29">
        <v>1000000</v>
      </c>
      <c r="O9" s="28"/>
    </row>
    <row r="10" spans="1:15" s="19" customFormat="1" ht="27.75" customHeight="1">
      <c r="A10" s="24">
        <v>9</v>
      </c>
      <c r="B10" s="24"/>
      <c r="C10" s="25" t="s">
        <v>180</v>
      </c>
      <c r="D10" s="26" t="s">
        <v>199</v>
      </c>
      <c r="E10" s="26" t="s">
        <v>591</v>
      </c>
      <c r="F10" s="26" t="s">
        <v>357</v>
      </c>
      <c r="G10" s="26" t="s">
        <v>357</v>
      </c>
      <c r="H10" s="26" t="s">
        <v>204</v>
      </c>
      <c r="I10" s="26" t="s">
        <v>189</v>
      </c>
      <c r="J10" s="25"/>
      <c r="K10" s="27" t="s">
        <v>183</v>
      </c>
      <c r="L10" s="29">
        <v>666000</v>
      </c>
      <c r="M10" s="29">
        <f>ROUNDDOWN(QUOTIENT(PRODUCT(テーブル25[[#This Row],[国庫補助基本額【上限100万円】]],2),3),-3)</f>
        <v>666000</v>
      </c>
      <c r="N10" s="29">
        <v>1000000</v>
      </c>
      <c r="O10" s="28"/>
    </row>
    <row r="11" spans="1:15" s="19" customFormat="1" ht="27.75" customHeight="1">
      <c r="A11" s="24">
        <v>10</v>
      </c>
      <c r="B11" s="24"/>
      <c r="C11" s="25" t="s">
        <v>180</v>
      </c>
      <c r="D11" s="26" t="s">
        <v>199</v>
      </c>
      <c r="E11" s="26" t="s">
        <v>591</v>
      </c>
      <c r="F11" s="26" t="s">
        <v>357</v>
      </c>
      <c r="G11" s="26" t="s">
        <v>357</v>
      </c>
      <c r="H11" s="26" t="s">
        <v>250</v>
      </c>
      <c r="I11" s="26" t="s">
        <v>226</v>
      </c>
      <c r="J11" s="25"/>
      <c r="K11" s="27" t="s">
        <v>183</v>
      </c>
      <c r="L11" s="29">
        <v>666000</v>
      </c>
      <c r="M11" s="29">
        <f>ROUNDDOWN(QUOTIENT(PRODUCT(テーブル25[[#This Row],[国庫補助基本額【上限100万円】]],2),3),-3)</f>
        <v>666000</v>
      </c>
      <c r="N11" s="29">
        <v>1000000</v>
      </c>
      <c r="O11" s="28"/>
    </row>
    <row r="12" spans="1:15" s="19" customFormat="1" ht="27.75" customHeight="1">
      <c r="A12" s="24">
        <v>11</v>
      </c>
      <c r="B12" s="24"/>
      <c r="C12" s="25" t="s">
        <v>180</v>
      </c>
      <c r="D12" s="26" t="s">
        <v>199</v>
      </c>
      <c r="E12" s="26" t="s">
        <v>591</v>
      </c>
      <c r="F12" s="26" t="s">
        <v>357</v>
      </c>
      <c r="G12" s="26" t="s">
        <v>357</v>
      </c>
      <c r="H12" s="26" t="s">
        <v>252</v>
      </c>
      <c r="I12" s="26" t="s">
        <v>253</v>
      </c>
      <c r="J12" s="25"/>
      <c r="K12" s="27" t="s">
        <v>183</v>
      </c>
      <c r="L12" s="29">
        <v>666000</v>
      </c>
      <c r="M12" s="29">
        <f>ROUNDDOWN(QUOTIENT(PRODUCT(テーブル25[[#This Row],[国庫補助基本額【上限100万円】]],2),3),-3)</f>
        <v>666000</v>
      </c>
      <c r="N12" s="29">
        <v>1000000</v>
      </c>
      <c r="O12" s="28"/>
    </row>
    <row r="13" spans="1:15" s="19" customFormat="1" ht="27.75" customHeight="1">
      <c r="A13" s="24">
        <v>12</v>
      </c>
      <c r="B13" s="24"/>
      <c r="C13" s="25" t="s">
        <v>180</v>
      </c>
      <c r="D13" s="26" t="s">
        <v>199</v>
      </c>
      <c r="E13" s="26" t="s">
        <v>591</v>
      </c>
      <c r="F13" s="26" t="s">
        <v>357</v>
      </c>
      <c r="G13" s="26" t="s">
        <v>357</v>
      </c>
      <c r="H13" s="26" t="s">
        <v>586</v>
      </c>
      <c r="I13" s="26" t="s">
        <v>226</v>
      </c>
      <c r="J13" s="25"/>
      <c r="K13" s="27" t="s">
        <v>183</v>
      </c>
      <c r="L13" s="29">
        <v>666000</v>
      </c>
      <c r="M13" s="29">
        <f>ROUNDDOWN(QUOTIENT(PRODUCT(テーブル25[[#This Row],[国庫補助基本額【上限100万円】]],2),3),-3)</f>
        <v>666000</v>
      </c>
      <c r="N13" s="29">
        <v>1000000</v>
      </c>
      <c r="O13" s="28"/>
    </row>
    <row r="14" spans="1:15" s="19" customFormat="1" ht="27.75" customHeight="1">
      <c r="A14" s="24">
        <v>13</v>
      </c>
      <c r="B14" s="24"/>
      <c r="C14" s="25" t="s">
        <v>180</v>
      </c>
      <c r="D14" s="26" t="s">
        <v>199</v>
      </c>
      <c r="E14" s="26" t="s">
        <v>591</v>
      </c>
      <c r="F14" s="26" t="s">
        <v>357</v>
      </c>
      <c r="G14" s="26" t="s">
        <v>357</v>
      </c>
      <c r="H14" s="26" t="s">
        <v>587</v>
      </c>
      <c r="I14" s="26" t="s">
        <v>226</v>
      </c>
      <c r="J14" s="25"/>
      <c r="K14" s="27" t="s">
        <v>183</v>
      </c>
      <c r="L14" s="29">
        <v>666000</v>
      </c>
      <c r="M14" s="29">
        <f>ROUNDDOWN(QUOTIENT(PRODUCT(テーブル25[[#This Row],[国庫補助基本額【上限100万円】]],2),3),-3)</f>
        <v>666000</v>
      </c>
      <c r="N14" s="29">
        <v>1000000</v>
      </c>
      <c r="O14" s="28"/>
    </row>
    <row r="15" spans="1:15" s="19" customFormat="1" ht="27.75" customHeight="1">
      <c r="A15" s="24">
        <v>14</v>
      </c>
      <c r="B15" s="24"/>
      <c r="C15" s="25" t="s">
        <v>180</v>
      </c>
      <c r="D15" s="26" t="s">
        <v>199</v>
      </c>
      <c r="E15" s="26" t="s">
        <v>591</v>
      </c>
      <c r="F15" s="26" t="s">
        <v>357</v>
      </c>
      <c r="G15" s="26" t="s">
        <v>357</v>
      </c>
      <c r="H15" s="26" t="s">
        <v>588</v>
      </c>
      <c r="I15" s="26" t="s">
        <v>226</v>
      </c>
      <c r="J15" s="25"/>
      <c r="K15" s="27" t="s">
        <v>183</v>
      </c>
      <c r="L15" s="29">
        <v>666000</v>
      </c>
      <c r="M15" s="29">
        <f>ROUNDDOWN(QUOTIENT(PRODUCT(テーブル25[[#This Row],[国庫補助基本額【上限100万円】]],2),3),-3)</f>
        <v>666000</v>
      </c>
      <c r="N15" s="29">
        <v>1000000</v>
      </c>
      <c r="O15" s="28"/>
    </row>
    <row r="16" spans="1:15" s="19" customFormat="1" ht="27.75" customHeight="1">
      <c r="A16" s="24">
        <v>15</v>
      </c>
      <c r="B16" s="24"/>
      <c r="C16" s="25" t="s">
        <v>180</v>
      </c>
      <c r="D16" s="26" t="s">
        <v>199</v>
      </c>
      <c r="E16" s="26" t="s">
        <v>591</v>
      </c>
      <c r="F16" s="26" t="s">
        <v>357</v>
      </c>
      <c r="G16" s="26" t="s">
        <v>357</v>
      </c>
      <c r="H16" s="26" t="s">
        <v>613</v>
      </c>
      <c r="I16" s="26" t="s">
        <v>253</v>
      </c>
      <c r="J16" s="25"/>
      <c r="K16" s="27" t="s">
        <v>183</v>
      </c>
      <c r="L16" s="29">
        <v>666000</v>
      </c>
      <c r="M16" s="29">
        <f>ROUNDDOWN(QUOTIENT(PRODUCT(テーブル25[[#This Row],[国庫補助基本額【上限100万円】]],2),3),-3)</f>
        <v>666000</v>
      </c>
      <c r="N16" s="29">
        <v>1000000</v>
      </c>
      <c r="O16" s="28"/>
    </row>
    <row r="17" spans="1:15" s="19" customFormat="1" ht="27.75" customHeight="1">
      <c r="A17" s="24">
        <v>16</v>
      </c>
      <c r="B17" s="24">
        <v>8</v>
      </c>
      <c r="C17" s="25" t="s">
        <v>180</v>
      </c>
      <c r="D17" s="26" t="s">
        <v>632</v>
      </c>
      <c r="E17" s="26" t="s">
        <v>611</v>
      </c>
      <c r="F17" s="26" t="s">
        <v>414</v>
      </c>
      <c r="H17" s="26" t="s">
        <v>229</v>
      </c>
      <c r="I17" s="26" t="s">
        <v>230</v>
      </c>
      <c r="J17" s="25"/>
      <c r="K17" s="27" t="s">
        <v>183</v>
      </c>
      <c r="L17" s="29">
        <v>444000</v>
      </c>
      <c r="M17" s="29">
        <f>ROUNDDOWN(QUOTIENT(PRODUCT(テーブル25[[#This Row],[国庫補助基本額【上限100万円】]],2),3),-3)</f>
        <v>444000</v>
      </c>
      <c r="N17" s="29">
        <v>666600</v>
      </c>
      <c r="O17" s="28"/>
    </row>
    <row r="18" spans="1:15" s="19" customFormat="1" ht="27.75" customHeight="1">
      <c r="A18" s="24">
        <v>17</v>
      </c>
      <c r="B18" s="24">
        <v>9</v>
      </c>
      <c r="C18" s="25" t="s">
        <v>180</v>
      </c>
      <c r="D18" s="26" t="s">
        <v>201</v>
      </c>
      <c r="E18" s="26" t="s">
        <v>592</v>
      </c>
      <c r="F18" s="26" t="s">
        <v>364</v>
      </c>
      <c r="G18" s="26" t="s">
        <v>364</v>
      </c>
      <c r="H18" s="26" t="s">
        <v>202</v>
      </c>
      <c r="I18" s="26" t="s">
        <v>75</v>
      </c>
      <c r="J18" s="25"/>
      <c r="K18" s="27" t="s">
        <v>183</v>
      </c>
      <c r="L18" s="29">
        <v>666000</v>
      </c>
      <c r="M18" s="29">
        <f>ROUNDDOWN(QUOTIENT(PRODUCT(テーブル25[[#This Row],[国庫補助基本額【上限100万円】]],2),3),-3)</f>
        <v>666000</v>
      </c>
      <c r="N18" s="29">
        <v>1000000</v>
      </c>
      <c r="O18" s="28"/>
    </row>
    <row r="19" spans="1:15" s="19" customFormat="1" ht="27.75" customHeight="1">
      <c r="A19" s="24">
        <v>18</v>
      </c>
      <c r="B19" s="24"/>
      <c r="C19" s="25" t="s">
        <v>180</v>
      </c>
      <c r="D19" s="26" t="s">
        <v>201</v>
      </c>
      <c r="E19" s="26" t="s">
        <v>592</v>
      </c>
      <c r="F19" s="26" t="s">
        <v>464</v>
      </c>
      <c r="G19" s="26" t="s">
        <v>364</v>
      </c>
      <c r="H19" s="26" t="s">
        <v>616</v>
      </c>
      <c r="I19" s="26" t="s">
        <v>212</v>
      </c>
      <c r="J19" s="25"/>
      <c r="K19" s="27" t="s">
        <v>183</v>
      </c>
      <c r="L19" s="29">
        <v>666000</v>
      </c>
      <c r="M19" s="29">
        <f>ROUNDDOWN(QUOTIENT(PRODUCT(テーブル25[[#This Row],[国庫補助基本額【上限100万円】]],2),3),-3)</f>
        <v>666000</v>
      </c>
      <c r="N19" s="29">
        <v>1000000</v>
      </c>
      <c r="O19" s="28"/>
    </row>
    <row r="20" spans="1:15" s="19" customFormat="1" ht="27.75" customHeight="1">
      <c r="A20" s="24">
        <v>19</v>
      </c>
      <c r="B20" s="24"/>
      <c r="C20" s="25" t="s">
        <v>180</v>
      </c>
      <c r="D20" s="26" t="s">
        <v>201</v>
      </c>
      <c r="E20" s="26" t="s">
        <v>592</v>
      </c>
      <c r="F20" s="26" t="s">
        <v>364</v>
      </c>
      <c r="G20" s="26" t="s">
        <v>364</v>
      </c>
      <c r="H20" s="26" t="s">
        <v>254</v>
      </c>
      <c r="I20" s="26" t="s">
        <v>230</v>
      </c>
      <c r="J20" s="25"/>
      <c r="K20" s="27" t="s">
        <v>183</v>
      </c>
      <c r="L20" s="29">
        <v>666000</v>
      </c>
      <c r="M20" s="29">
        <f>ROUNDDOWN(QUOTIENT(PRODUCT(テーブル25[[#This Row],[国庫補助基本額【上限100万円】]],2),3),-3)</f>
        <v>666000</v>
      </c>
      <c r="N20" s="29">
        <v>1000000</v>
      </c>
      <c r="O20" s="28"/>
    </row>
    <row r="21" spans="1:15" s="19" customFormat="1" ht="27.75" customHeight="1">
      <c r="A21" s="24">
        <v>20</v>
      </c>
      <c r="B21" s="24">
        <v>10</v>
      </c>
      <c r="C21" s="25" t="s">
        <v>180</v>
      </c>
      <c r="D21" s="26" t="s">
        <v>221</v>
      </c>
      <c r="E21" s="26" t="s">
        <v>593</v>
      </c>
      <c r="F21" s="26" t="s">
        <v>382</v>
      </c>
      <c r="G21" s="26" t="s">
        <v>382</v>
      </c>
      <c r="H21" s="26" t="s">
        <v>222</v>
      </c>
      <c r="I21" s="26" t="s">
        <v>223</v>
      </c>
      <c r="J21" s="25"/>
      <c r="K21" s="27" t="s">
        <v>183</v>
      </c>
      <c r="L21" s="29">
        <v>235000</v>
      </c>
      <c r="M21" s="29">
        <f>ROUNDDOWN(QUOTIENT(PRODUCT(テーブル25[[#This Row],[国庫補助基本額【上限100万円】]],2),3),-3)</f>
        <v>235000</v>
      </c>
      <c r="N21" s="29">
        <v>353088</v>
      </c>
      <c r="O21" s="28"/>
    </row>
    <row r="22" spans="1:15" s="19" customFormat="1" ht="27.75" customHeight="1">
      <c r="A22" s="24">
        <v>21</v>
      </c>
      <c r="B22" s="24">
        <v>11</v>
      </c>
      <c r="C22" s="25" t="s">
        <v>180</v>
      </c>
      <c r="D22" s="26" t="s">
        <v>260</v>
      </c>
      <c r="E22" s="26" t="s">
        <v>594</v>
      </c>
      <c r="F22" s="26" t="s">
        <v>385</v>
      </c>
      <c r="G22" s="26" t="s">
        <v>404</v>
      </c>
      <c r="H22" s="26" t="s">
        <v>206</v>
      </c>
      <c r="I22" s="26" t="s">
        <v>207</v>
      </c>
      <c r="J22" s="25"/>
      <c r="K22" s="27" t="s">
        <v>194</v>
      </c>
      <c r="L22" s="29">
        <v>343000</v>
      </c>
      <c r="M22" s="29">
        <f>ROUNDDOWN(QUOTIENT(PRODUCT(テーブル25[[#This Row],[国庫補助基本額【上限100万円】]],2),3),-3)</f>
        <v>343000</v>
      </c>
      <c r="N22" s="29">
        <v>515795</v>
      </c>
      <c r="O22" s="28" t="s">
        <v>208</v>
      </c>
    </row>
    <row r="23" spans="1:15" s="19" customFormat="1" ht="27.75" customHeight="1">
      <c r="A23" s="24">
        <v>22</v>
      </c>
      <c r="B23" s="24"/>
      <c r="C23" s="25" t="s">
        <v>180</v>
      </c>
      <c r="D23" s="26" t="s">
        <v>260</v>
      </c>
      <c r="E23" s="26" t="s">
        <v>594</v>
      </c>
      <c r="F23" s="26" t="s">
        <v>396</v>
      </c>
      <c r="G23" s="26" t="s">
        <v>404</v>
      </c>
      <c r="H23" s="26" t="s">
        <v>210</v>
      </c>
      <c r="I23" s="26" t="s">
        <v>207</v>
      </c>
      <c r="J23" s="25"/>
      <c r="K23" s="27" t="s">
        <v>183</v>
      </c>
      <c r="L23" s="29">
        <v>666000</v>
      </c>
      <c r="M23" s="29">
        <f>ROUNDDOWN(QUOTIENT(PRODUCT(テーブル25[[#This Row],[国庫補助基本額【上限100万円】]],2),3),-3)</f>
        <v>666000</v>
      </c>
      <c r="N23" s="29">
        <v>1000000</v>
      </c>
      <c r="O23" s="28"/>
    </row>
    <row r="24" spans="1:15" s="19" customFormat="1" ht="27.75" customHeight="1">
      <c r="A24" s="24">
        <v>23</v>
      </c>
      <c r="B24" s="24"/>
      <c r="C24" s="25" t="s">
        <v>180</v>
      </c>
      <c r="D24" s="26" t="s">
        <v>260</v>
      </c>
      <c r="E24" s="26" t="s">
        <v>594</v>
      </c>
      <c r="F24" s="26" t="s">
        <v>447</v>
      </c>
      <c r="G24" s="26" t="s">
        <v>404</v>
      </c>
      <c r="H24" s="26" t="s">
        <v>217</v>
      </c>
      <c r="I24" s="26" t="s">
        <v>212</v>
      </c>
      <c r="J24" s="25"/>
      <c r="K24" s="27" t="s">
        <v>183</v>
      </c>
      <c r="L24" s="29">
        <v>615000</v>
      </c>
      <c r="M24" s="29">
        <f>ROUNDDOWN(QUOTIENT(PRODUCT(テーブル25[[#This Row],[国庫補助基本額【上限100万円】]],2),3),-3)</f>
        <v>615000</v>
      </c>
      <c r="N24" s="29">
        <v>922843</v>
      </c>
      <c r="O24" s="28"/>
    </row>
    <row r="25" spans="1:15" s="19" customFormat="1" ht="27.75" customHeight="1">
      <c r="A25" s="24">
        <v>24</v>
      </c>
      <c r="B25" s="24"/>
      <c r="C25" s="25" t="s">
        <v>180</v>
      </c>
      <c r="D25" s="26" t="s">
        <v>260</v>
      </c>
      <c r="E25" s="26" t="s">
        <v>594</v>
      </c>
      <c r="F25" s="26" t="s">
        <v>404</v>
      </c>
      <c r="G25" s="26" t="s">
        <v>404</v>
      </c>
      <c r="H25" s="26" t="s">
        <v>227</v>
      </c>
      <c r="I25" s="26" t="s">
        <v>223</v>
      </c>
      <c r="J25" s="25"/>
      <c r="K25" s="27" t="s">
        <v>183</v>
      </c>
      <c r="L25" s="29">
        <v>666000</v>
      </c>
      <c r="M25" s="29">
        <f>ROUNDDOWN(QUOTIENT(PRODUCT(テーブル25[[#This Row],[国庫補助基本額【上限100万円】]],2),3),-3)</f>
        <v>666000</v>
      </c>
      <c r="N25" s="29">
        <v>1000000</v>
      </c>
      <c r="O25" s="28"/>
    </row>
    <row r="26" spans="1:15" s="19" customFormat="1" ht="27.75" customHeight="1">
      <c r="A26" s="24">
        <v>25</v>
      </c>
      <c r="B26" s="24"/>
      <c r="C26" s="25" t="s">
        <v>180</v>
      </c>
      <c r="D26" s="26" t="s">
        <v>260</v>
      </c>
      <c r="E26" s="26" t="s">
        <v>594</v>
      </c>
      <c r="F26" s="26" t="s">
        <v>396</v>
      </c>
      <c r="G26" s="26" t="s">
        <v>404</v>
      </c>
      <c r="H26" s="26" t="s">
        <v>231</v>
      </c>
      <c r="I26" s="26" t="s">
        <v>230</v>
      </c>
      <c r="J26" s="25"/>
      <c r="K26" s="27" t="s">
        <v>183</v>
      </c>
      <c r="L26" s="29">
        <v>666000</v>
      </c>
      <c r="M26" s="29">
        <f>ROUNDDOWN(QUOTIENT(PRODUCT(テーブル25[[#This Row],[国庫補助基本額【上限100万円】]],2),3),-3)</f>
        <v>666000</v>
      </c>
      <c r="N26" s="29">
        <v>1000000</v>
      </c>
      <c r="O26" s="28"/>
    </row>
    <row r="27" spans="1:15" s="19" customFormat="1" ht="27.75" customHeight="1">
      <c r="A27" s="24">
        <v>26</v>
      </c>
      <c r="B27" s="24"/>
      <c r="C27" s="25" t="s">
        <v>180</v>
      </c>
      <c r="D27" s="26" t="s">
        <v>260</v>
      </c>
      <c r="E27" s="26" t="s">
        <v>594</v>
      </c>
      <c r="F27" s="26" t="s">
        <v>434</v>
      </c>
      <c r="G27" s="26" t="s">
        <v>404</v>
      </c>
      <c r="H27" s="26" t="s">
        <v>232</v>
      </c>
      <c r="I27" s="26" t="s">
        <v>223</v>
      </c>
      <c r="J27" s="25"/>
      <c r="K27" s="27" t="s">
        <v>183</v>
      </c>
      <c r="L27" s="29">
        <v>666000</v>
      </c>
      <c r="M27" s="29">
        <f>ROUNDDOWN(QUOTIENT(PRODUCT(テーブル25[[#This Row],[国庫補助基本額【上限100万円】]],2),3),-3)</f>
        <v>666000</v>
      </c>
      <c r="N27" s="29">
        <v>1000000</v>
      </c>
      <c r="O27" s="28"/>
    </row>
    <row r="28" spans="1:15" s="19" customFormat="1" ht="27.75" customHeight="1">
      <c r="A28" s="24">
        <v>27</v>
      </c>
      <c r="B28" s="24"/>
      <c r="C28" s="25" t="s">
        <v>180</v>
      </c>
      <c r="D28" s="26" t="s">
        <v>260</v>
      </c>
      <c r="E28" s="26" t="s">
        <v>594</v>
      </c>
      <c r="F28" s="26" t="s">
        <v>456</v>
      </c>
      <c r="G28" s="26" t="s">
        <v>404</v>
      </c>
      <c r="H28" s="26" t="s">
        <v>235</v>
      </c>
      <c r="I28" s="26" t="s">
        <v>223</v>
      </c>
      <c r="J28" s="25"/>
      <c r="K28" s="27" t="s">
        <v>194</v>
      </c>
      <c r="L28" s="29">
        <v>588000</v>
      </c>
      <c r="M28" s="29">
        <f>ROUNDDOWN(QUOTIENT(PRODUCT(テーブル25[[#This Row],[国庫補助基本額【上限100万円】]],2),3),-3)</f>
        <v>588000</v>
      </c>
      <c r="N28" s="29">
        <v>882217</v>
      </c>
      <c r="O28" s="28" t="s">
        <v>236</v>
      </c>
    </row>
    <row r="29" spans="1:15" s="19" customFormat="1" ht="27.75" customHeight="1">
      <c r="A29" s="24">
        <v>28</v>
      </c>
      <c r="B29" s="24"/>
      <c r="C29" s="25" t="s">
        <v>180</v>
      </c>
      <c r="D29" s="26" t="s">
        <v>260</v>
      </c>
      <c r="E29" s="26" t="s">
        <v>594</v>
      </c>
      <c r="F29" s="26" t="s">
        <v>579</v>
      </c>
      <c r="G29" s="26" t="s">
        <v>404</v>
      </c>
      <c r="H29" s="26" t="s">
        <v>255</v>
      </c>
      <c r="I29" s="26" t="s">
        <v>223</v>
      </c>
      <c r="J29" s="25"/>
      <c r="K29" s="27" t="s">
        <v>194</v>
      </c>
      <c r="L29" s="29">
        <v>637000</v>
      </c>
      <c r="M29" s="29">
        <f>ROUNDDOWN(QUOTIENT(PRODUCT(テーブル25[[#This Row],[国庫補助基本額【上限100万円】]],2),3),-3)</f>
        <v>637000</v>
      </c>
      <c r="N29" s="29">
        <v>956115</v>
      </c>
      <c r="O29" s="28" t="s">
        <v>256</v>
      </c>
    </row>
    <row r="30" spans="1:15" s="19" customFormat="1" ht="27.75" customHeight="1">
      <c r="A30" s="24">
        <v>29</v>
      </c>
      <c r="B30" s="24">
        <v>12</v>
      </c>
      <c r="C30" s="25" t="s">
        <v>180</v>
      </c>
      <c r="D30" s="26" t="s">
        <v>261</v>
      </c>
      <c r="E30" s="26" t="s">
        <v>602</v>
      </c>
      <c r="F30" s="26" t="s">
        <v>445</v>
      </c>
      <c r="G30" s="26" t="s">
        <v>445</v>
      </c>
      <c r="H30" s="26" t="s">
        <v>234</v>
      </c>
      <c r="I30" s="26" t="s">
        <v>223</v>
      </c>
      <c r="J30" s="25"/>
      <c r="K30" s="27" t="s">
        <v>183</v>
      </c>
      <c r="L30" s="29">
        <v>666000</v>
      </c>
      <c r="M30" s="29">
        <f>ROUNDDOWN(QUOTIENT(PRODUCT(テーブル25[[#This Row],[国庫補助基本額【上限100万円】]],2),3),-3)</f>
        <v>666000</v>
      </c>
      <c r="N30" s="29">
        <v>1000000</v>
      </c>
      <c r="O30" s="28"/>
    </row>
    <row r="31" spans="1:15" s="19" customFormat="1" ht="27.75" customHeight="1">
      <c r="A31" s="24">
        <v>30</v>
      </c>
      <c r="B31" s="24">
        <v>13</v>
      </c>
      <c r="C31" s="25" t="s">
        <v>180</v>
      </c>
      <c r="D31" s="26" t="s">
        <v>244</v>
      </c>
      <c r="E31" s="58" t="s">
        <v>603</v>
      </c>
      <c r="F31" s="26" t="s">
        <v>503</v>
      </c>
      <c r="G31" s="26" t="s">
        <v>635</v>
      </c>
      <c r="H31" s="26" t="s">
        <v>245</v>
      </c>
      <c r="I31" s="26" t="s">
        <v>246</v>
      </c>
      <c r="J31" s="25"/>
      <c r="K31" s="27" t="s">
        <v>183</v>
      </c>
      <c r="L31" s="29">
        <v>666000</v>
      </c>
      <c r="M31" s="29">
        <f>ROUNDDOWN(QUOTIENT(PRODUCT(テーブル25[[#This Row],[国庫補助基本額【上限100万円】]],2),3),-3)</f>
        <v>666000</v>
      </c>
      <c r="N31" s="29">
        <v>1000000</v>
      </c>
      <c r="O31" s="28"/>
    </row>
    <row r="32" spans="1:15" s="19" customFormat="1" ht="27.75" customHeight="1">
      <c r="A32" s="24">
        <v>31</v>
      </c>
      <c r="B32" s="24">
        <v>14</v>
      </c>
      <c r="C32" s="25" t="s">
        <v>186</v>
      </c>
      <c r="D32" s="26" t="s">
        <v>190</v>
      </c>
      <c r="E32" s="26" t="s">
        <v>601</v>
      </c>
      <c r="F32" s="26" t="s">
        <v>310</v>
      </c>
      <c r="G32" s="26" t="s">
        <v>341</v>
      </c>
      <c r="H32" s="26" t="s">
        <v>191</v>
      </c>
      <c r="I32" s="26" t="s">
        <v>75</v>
      </c>
      <c r="J32" s="25"/>
      <c r="K32" s="27" t="s">
        <v>183</v>
      </c>
      <c r="L32" s="29">
        <v>666000</v>
      </c>
      <c r="M32" s="29">
        <f>ROUNDDOWN(QUOTIENT(PRODUCT(テーブル25[[#This Row],[国庫補助基本額【上限100万円】]],2),3),-3)</f>
        <v>666000</v>
      </c>
      <c r="N32" s="29">
        <v>1000000</v>
      </c>
      <c r="O32" s="28"/>
    </row>
    <row r="33" spans="1:15" s="19" customFormat="1" ht="27.75" customHeight="1">
      <c r="A33" s="24">
        <v>32</v>
      </c>
      <c r="B33" s="24"/>
      <c r="C33" s="25" t="s">
        <v>180</v>
      </c>
      <c r="D33" s="26" t="s">
        <v>190</v>
      </c>
      <c r="E33" s="26" t="s">
        <v>601</v>
      </c>
      <c r="F33" s="26" t="s">
        <v>341</v>
      </c>
      <c r="G33" s="26" t="s">
        <v>341</v>
      </c>
      <c r="H33" s="26" t="s">
        <v>198</v>
      </c>
      <c r="I33" s="26" t="s">
        <v>75</v>
      </c>
      <c r="J33" s="25"/>
      <c r="K33" s="27" t="s">
        <v>183</v>
      </c>
      <c r="L33" s="29">
        <v>338000</v>
      </c>
      <c r="M33" s="29">
        <f>ROUNDDOWN(QUOTIENT(PRODUCT(テーブル25[[#This Row],[国庫補助基本額【上限100万円】]],2),3),-3)</f>
        <v>338000</v>
      </c>
      <c r="N33" s="29">
        <v>507540</v>
      </c>
      <c r="O33" s="28"/>
    </row>
    <row r="34" spans="1:15" s="19" customFormat="1" ht="27.75" customHeight="1">
      <c r="A34" s="24">
        <v>33</v>
      </c>
      <c r="B34" s="24">
        <v>15</v>
      </c>
      <c r="C34" s="25" t="s">
        <v>180</v>
      </c>
      <c r="D34" s="26" t="s">
        <v>185</v>
      </c>
      <c r="E34" s="26" t="s">
        <v>598</v>
      </c>
      <c r="F34" s="26" t="s">
        <v>295</v>
      </c>
      <c r="G34" s="26" t="s">
        <v>295</v>
      </c>
      <c r="H34" s="26" t="s">
        <v>259</v>
      </c>
      <c r="I34" s="26" t="s">
        <v>75</v>
      </c>
      <c r="J34" s="25"/>
      <c r="K34" s="27" t="s">
        <v>183</v>
      </c>
      <c r="L34" s="29">
        <v>666000</v>
      </c>
      <c r="M34" s="29">
        <f>ROUNDDOWN(QUOTIENT(PRODUCT(テーブル25[[#This Row],[国庫補助基本額【上限100万円】]],2),3),-3)</f>
        <v>666000</v>
      </c>
      <c r="N34" s="29">
        <v>1000000</v>
      </c>
      <c r="O34" s="28"/>
    </row>
    <row r="35" spans="1:15" s="19" customFormat="1" ht="27.75" customHeight="1">
      <c r="A35" s="24">
        <v>34</v>
      </c>
      <c r="B35" s="24"/>
      <c r="C35" s="25" t="s">
        <v>180</v>
      </c>
      <c r="D35" s="26" t="s">
        <v>185</v>
      </c>
      <c r="E35" s="26" t="s">
        <v>598</v>
      </c>
      <c r="F35" s="26" t="s">
        <v>295</v>
      </c>
      <c r="G35" s="26" t="s">
        <v>295</v>
      </c>
      <c r="H35" s="26" t="s">
        <v>196</v>
      </c>
      <c r="I35" s="26" t="s">
        <v>189</v>
      </c>
      <c r="J35" s="25"/>
      <c r="K35" s="27" t="s">
        <v>183</v>
      </c>
      <c r="L35" s="29">
        <v>666000</v>
      </c>
      <c r="M35" s="29">
        <f>ROUNDDOWN(QUOTIENT(PRODUCT(テーブル25[[#This Row],[国庫補助基本額【上限100万円】]],2),3),-3)</f>
        <v>666000</v>
      </c>
      <c r="N35" s="29">
        <v>1000000</v>
      </c>
      <c r="O35" s="28"/>
    </row>
    <row r="36" spans="1:15" s="19" customFormat="1" ht="27.75" customHeight="1">
      <c r="A36" s="24">
        <v>35</v>
      </c>
      <c r="B36" s="24"/>
      <c r="C36" s="25" t="s">
        <v>180</v>
      </c>
      <c r="D36" s="26" t="s">
        <v>185</v>
      </c>
      <c r="E36" s="26" t="s">
        <v>598</v>
      </c>
      <c r="F36" s="26" t="s">
        <v>295</v>
      </c>
      <c r="G36" s="26" t="s">
        <v>295</v>
      </c>
      <c r="H36" s="26" t="s">
        <v>197</v>
      </c>
      <c r="I36" s="26" t="s">
        <v>75</v>
      </c>
      <c r="J36" s="25"/>
      <c r="K36" s="27" t="s">
        <v>183</v>
      </c>
      <c r="L36" s="29">
        <v>666000</v>
      </c>
      <c r="M36" s="29">
        <f>ROUNDDOWN(QUOTIENT(PRODUCT(テーブル25[[#This Row],[国庫補助基本額【上限100万円】]],2),3),-3)</f>
        <v>666000</v>
      </c>
      <c r="N36" s="29">
        <v>1000000</v>
      </c>
      <c r="O36" s="28"/>
    </row>
    <row r="37" spans="1:15" s="19" customFormat="1" ht="27.75" customHeight="1">
      <c r="A37" s="24">
        <v>36</v>
      </c>
      <c r="B37" s="24"/>
      <c r="C37" s="25" t="s">
        <v>180</v>
      </c>
      <c r="D37" s="26" t="s">
        <v>185</v>
      </c>
      <c r="E37" s="26" t="s">
        <v>598</v>
      </c>
      <c r="F37" s="26" t="s">
        <v>295</v>
      </c>
      <c r="G37" s="26" t="s">
        <v>295</v>
      </c>
      <c r="H37" s="26" t="s">
        <v>243</v>
      </c>
      <c r="I37" s="26" t="s">
        <v>230</v>
      </c>
      <c r="J37" s="25"/>
      <c r="K37" s="27" t="s">
        <v>183</v>
      </c>
      <c r="L37" s="29">
        <v>407000</v>
      </c>
      <c r="M37" s="29">
        <f>ROUNDDOWN(QUOTIENT(PRODUCT(テーブル25[[#This Row],[国庫補助基本額【上限100万円】]],2),3),-3)</f>
        <v>407000</v>
      </c>
      <c r="N37" s="29">
        <v>611380</v>
      </c>
      <c r="O37" s="28"/>
    </row>
    <row r="38" spans="1:15" s="19" customFormat="1" ht="27.75" customHeight="1">
      <c r="A38" s="24">
        <v>37</v>
      </c>
      <c r="B38" s="24">
        <v>16</v>
      </c>
      <c r="C38" s="25" t="s">
        <v>180</v>
      </c>
      <c r="D38" s="26" t="s">
        <v>247</v>
      </c>
      <c r="E38" s="26" t="s">
        <v>599</v>
      </c>
      <c r="F38" s="26" t="s">
        <v>511</v>
      </c>
      <c r="G38" s="26" t="s">
        <v>511</v>
      </c>
      <c r="H38" s="26" t="s">
        <v>248</v>
      </c>
      <c r="I38" s="26" t="s">
        <v>223</v>
      </c>
      <c r="J38" s="25"/>
      <c r="K38" s="27" t="s">
        <v>183</v>
      </c>
      <c r="L38" s="29">
        <v>666000</v>
      </c>
      <c r="M38" s="29">
        <f>ROUNDDOWN(QUOTIENT(PRODUCT(テーブル25[[#This Row],[国庫補助基本額【上限100万円】]],2),3),-3)</f>
        <v>666000</v>
      </c>
      <c r="N38" s="29">
        <v>1000000</v>
      </c>
      <c r="O38" s="28"/>
    </row>
    <row r="39" spans="1:15" s="19" customFormat="1" ht="27.75" customHeight="1">
      <c r="A39" s="24">
        <v>38</v>
      </c>
      <c r="B39" s="24">
        <v>17</v>
      </c>
      <c r="C39" s="25" t="s">
        <v>180</v>
      </c>
      <c r="D39" s="26" t="s">
        <v>113</v>
      </c>
      <c r="E39" s="26" t="s">
        <v>596</v>
      </c>
      <c r="F39" s="26" t="s">
        <v>116</v>
      </c>
      <c r="G39" s="26" t="s">
        <v>623</v>
      </c>
      <c r="H39" s="26" t="s">
        <v>117</v>
      </c>
      <c r="I39" s="26" t="s">
        <v>110</v>
      </c>
      <c r="J39" s="25"/>
      <c r="K39" s="27" t="s">
        <v>183</v>
      </c>
      <c r="L39" s="29">
        <v>517000</v>
      </c>
      <c r="M39" s="29">
        <f>ROUNDDOWN(QUOTIENT(PRODUCT(テーブル25[[#This Row],[国庫補助基本額【上限100万円】]],2),3),-3)</f>
        <v>517000</v>
      </c>
      <c r="N39" s="29">
        <v>776820</v>
      </c>
      <c r="O39" s="28"/>
    </row>
    <row r="40" spans="1:15" s="19" customFormat="1" ht="27.75" customHeight="1">
      <c r="A40" s="24">
        <v>39</v>
      </c>
      <c r="B40" s="24"/>
      <c r="C40" s="25" t="s">
        <v>180</v>
      </c>
      <c r="D40" s="26" t="s">
        <v>113</v>
      </c>
      <c r="E40" s="26" t="s">
        <v>596</v>
      </c>
      <c r="F40" s="26" t="s">
        <v>116</v>
      </c>
      <c r="G40" s="26" t="s">
        <v>623</v>
      </c>
      <c r="H40" s="26" t="s">
        <v>184</v>
      </c>
      <c r="I40" s="26" t="s">
        <v>75</v>
      </c>
      <c r="J40" s="25"/>
      <c r="K40" s="27" t="s">
        <v>183</v>
      </c>
      <c r="L40" s="29">
        <v>666000</v>
      </c>
      <c r="M40" s="29">
        <f>ROUNDDOWN(QUOTIENT(PRODUCT(テーブル25[[#This Row],[国庫補助基本額【上限100万円】]],2),3),-3)</f>
        <v>666000</v>
      </c>
      <c r="N40" s="29">
        <v>1000000</v>
      </c>
      <c r="O40" s="28"/>
    </row>
    <row r="41" spans="1:15" s="19" customFormat="1" ht="27.75" customHeight="1">
      <c r="A41" s="24">
        <v>40</v>
      </c>
      <c r="B41" s="24"/>
      <c r="C41" s="25" t="s">
        <v>180</v>
      </c>
      <c r="D41" s="26" t="s">
        <v>113</v>
      </c>
      <c r="E41" s="26" t="s">
        <v>597</v>
      </c>
      <c r="F41" s="26" t="s">
        <v>350</v>
      </c>
      <c r="G41" s="26" t="s">
        <v>623</v>
      </c>
      <c r="H41" s="26" t="s">
        <v>589</v>
      </c>
      <c r="I41" s="26" t="s">
        <v>189</v>
      </c>
      <c r="J41" s="25"/>
      <c r="K41" s="27" t="s">
        <v>183</v>
      </c>
      <c r="L41" s="29">
        <v>446000</v>
      </c>
      <c r="M41" s="29">
        <f>ROUNDDOWN(QUOTIENT(PRODUCT(テーブル25[[#This Row],[国庫補助基本額【上限100万円】]],2),3),-3)</f>
        <v>446000</v>
      </c>
      <c r="N41" s="29">
        <v>670450</v>
      </c>
      <c r="O41" s="28"/>
    </row>
    <row r="42" spans="1:15" s="19" customFormat="1" ht="27.75" customHeight="1">
      <c r="A42" s="24">
        <v>41</v>
      </c>
      <c r="B42" s="24">
        <v>18</v>
      </c>
      <c r="C42" s="25" t="s">
        <v>180</v>
      </c>
      <c r="D42" s="26" t="s">
        <v>214</v>
      </c>
      <c r="E42" s="26" t="s">
        <v>595</v>
      </c>
      <c r="F42" s="26" t="s">
        <v>426</v>
      </c>
      <c r="G42" s="26" t="s">
        <v>426</v>
      </c>
      <c r="H42" s="26" t="s">
        <v>215</v>
      </c>
      <c r="I42" s="26" t="s">
        <v>212</v>
      </c>
      <c r="J42" s="25"/>
      <c r="K42" s="27" t="s">
        <v>183</v>
      </c>
      <c r="L42" s="29">
        <v>50000</v>
      </c>
      <c r="M42" s="29">
        <f>ROUNDDOWN(QUOTIENT(PRODUCT(テーブル25[[#This Row],[国庫補助基本額【上限100万円】]],2),3),-3)</f>
        <v>50000</v>
      </c>
      <c r="N42" s="29">
        <v>75920</v>
      </c>
      <c r="O42" s="28"/>
    </row>
    <row r="43" spans="1:15" s="19" customFormat="1" ht="27.75" customHeight="1">
      <c r="A43" s="24">
        <v>42</v>
      </c>
      <c r="B43" s="24"/>
      <c r="C43" s="25" t="s">
        <v>180</v>
      </c>
      <c r="D43" s="26" t="s">
        <v>214</v>
      </c>
      <c r="E43" s="26" t="s">
        <v>595</v>
      </c>
      <c r="F43" s="26" t="s">
        <v>426</v>
      </c>
      <c r="G43" s="26" t="s">
        <v>426</v>
      </c>
      <c r="H43" s="26" t="s">
        <v>237</v>
      </c>
      <c r="I43" s="26" t="s">
        <v>226</v>
      </c>
      <c r="J43" s="25"/>
      <c r="K43" s="27" t="s">
        <v>183</v>
      </c>
      <c r="L43" s="29">
        <v>220000</v>
      </c>
      <c r="M43" s="29">
        <f>ROUNDDOWN(QUOTIENT(PRODUCT(テーブル25[[#This Row],[国庫補助基本額【上限100万円】]],2),3),-3)</f>
        <v>220000</v>
      </c>
      <c r="N43" s="29">
        <v>330640</v>
      </c>
      <c r="O43" s="28"/>
    </row>
    <row r="44" spans="1:15" s="19" customFormat="1" ht="27.75" customHeight="1">
      <c r="A44" s="24">
        <v>43</v>
      </c>
      <c r="B44" s="24"/>
      <c r="C44" s="25" t="s">
        <v>180</v>
      </c>
      <c r="D44" s="26" t="s">
        <v>214</v>
      </c>
      <c r="E44" s="26" t="s">
        <v>595</v>
      </c>
      <c r="F44" s="26" t="s">
        <v>426</v>
      </c>
      <c r="H44" s="26" t="s">
        <v>238</v>
      </c>
      <c r="I44" s="26" t="s">
        <v>226</v>
      </c>
      <c r="J44" s="25"/>
      <c r="K44" s="27" t="s">
        <v>183</v>
      </c>
      <c r="L44" s="29">
        <v>155000</v>
      </c>
      <c r="M44" s="29">
        <f>ROUNDDOWN(QUOTIENT(PRODUCT(テーブル25[[#This Row],[国庫補助基本額【上限100万円】]],2),3),-3)</f>
        <v>155000</v>
      </c>
      <c r="N44" s="29">
        <v>233080</v>
      </c>
      <c r="O44" s="28"/>
    </row>
    <row r="45" spans="1:15" s="19" customFormat="1" ht="27.75" customHeight="1">
      <c r="A45" s="24">
        <v>44</v>
      </c>
      <c r="B45" s="24"/>
      <c r="C45" s="25" t="s">
        <v>180</v>
      </c>
      <c r="D45" s="26" t="s">
        <v>214</v>
      </c>
      <c r="E45" s="26" t="s">
        <v>595</v>
      </c>
      <c r="F45" s="26" t="s">
        <v>426</v>
      </c>
      <c r="G45" s="26" t="s">
        <v>426</v>
      </c>
      <c r="H45" s="26" t="s">
        <v>239</v>
      </c>
      <c r="I45" s="26" t="s">
        <v>226</v>
      </c>
      <c r="J45" s="25"/>
      <c r="K45" s="27" t="s">
        <v>183</v>
      </c>
      <c r="L45" s="29">
        <v>187000</v>
      </c>
      <c r="M45" s="29">
        <f>ROUNDDOWN(QUOTIENT(PRODUCT(テーブル25[[#This Row],[国庫補助基本額【上限100万円】]],2),3),-3)</f>
        <v>187000</v>
      </c>
      <c r="N45" s="29">
        <v>281860</v>
      </c>
      <c r="O45" s="28"/>
    </row>
    <row r="46" spans="1:15" s="19" customFormat="1" ht="27.75" customHeight="1">
      <c r="A46" s="24">
        <v>45</v>
      </c>
      <c r="B46" s="24"/>
      <c r="C46" s="25" t="s">
        <v>180</v>
      </c>
      <c r="D46" s="26" t="s">
        <v>214</v>
      </c>
      <c r="E46" s="26" t="s">
        <v>595</v>
      </c>
      <c r="F46" s="26" t="s">
        <v>426</v>
      </c>
      <c r="G46" s="26" t="s">
        <v>426</v>
      </c>
      <c r="H46" s="26" t="s">
        <v>240</v>
      </c>
      <c r="I46" s="26" t="s">
        <v>241</v>
      </c>
      <c r="J46" s="25"/>
      <c r="K46" s="27" t="s">
        <v>183</v>
      </c>
      <c r="L46" s="29">
        <v>122000</v>
      </c>
      <c r="M46" s="29">
        <f>ROUNDDOWN(QUOTIENT(PRODUCT(テーブル25[[#This Row],[国庫補助基本額【上限100万円】]],2),3),-3)</f>
        <v>122000</v>
      </c>
      <c r="N46" s="29">
        <v>184300</v>
      </c>
      <c r="O46" s="28"/>
    </row>
    <row r="47" spans="1:15" s="19" customFormat="1" ht="27.75" customHeight="1">
      <c r="A47" s="24">
        <v>46</v>
      </c>
      <c r="B47" s="24"/>
      <c r="C47" s="25" t="s">
        <v>180</v>
      </c>
      <c r="D47" s="26" t="s">
        <v>214</v>
      </c>
      <c r="E47" s="26" t="s">
        <v>595</v>
      </c>
      <c r="F47" s="26" t="s">
        <v>426</v>
      </c>
      <c r="G47" s="26" t="s">
        <v>426</v>
      </c>
      <c r="H47" s="26" t="s">
        <v>242</v>
      </c>
      <c r="I47" s="26" t="s">
        <v>230</v>
      </c>
      <c r="J47" s="25"/>
      <c r="K47" s="27" t="s">
        <v>183</v>
      </c>
      <c r="L47" s="29">
        <v>25000</v>
      </c>
      <c r="M47" s="29">
        <f>ROUNDDOWN(QUOTIENT(PRODUCT(テーブル25[[#This Row],[国庫補助基本額【上限100万円】]],2),3),-3)</f>
        <v>25000</v>
      </c>
      <c r="N47" s="29">
        <v>37960</v>
      </c>
      <c r="O47" s="28"/>
    </row>
    <row r="48" spans="1:15" s="19" customFormat="1" ht="27.75" customHeight="1">
      <c r="A48" s="24">
        <v>47</v>
      </c>
      <c r="B48" s="24">
        <v>19</v>
      </c>
      <c r="C48" s="25" t="s">
        <v>180</v>
      </c>
      <c r="D48" s="26" t="s">
        <v>633</v>
      </c>
      <c r="E48" s="26" t="s">
        <v>600</v>
      </c>
      <c r="F48" s="26" t="s">
        <v>274</v>
      </c>
      <c r="G48" s="26" t="s">
        <v>274</v>
      </c>
      <c r="H48" s="26" t="s">
        <v>182</v>
      </c>
      <c r="I48" s="26" t="s">
        <v>75</v>
      </c>
      <c r="J48" s="25"/>
      <c r="K48" s="27" t="s">
        <v>183</v>
      </c>
      <c r="L48" s="29">
        <v>560000</v>
      </c>
      <c r="M48" s="29">
        <f>ROUNDDOWN(QUOTIENT(PRODUCT(テーブル25[[#This Row],[国庫補助基本額【上限100万円】]],2),3),-3)</f>
        <v>560000</v>
      </c>
      <c r="N48" s="29">
        <v>841030</v>
      </c>
      <c r="O48" s="28"/>
    </row>
    <row r="49" spans="1:15" s="19" customFormat="1" ht="27.75" customHeight="1">
      <c r="A49" s="24">
        <v>48</v>
      </c>
      <c r="B49" s="24"/>
      <c r="C49" s="25" t="s">
        <v>180</v>
      </c>
      <c r="D49" s="26" t="s">
        <v>95</v>
      </c>
      <c r="E49" s="26"/>
      <c r="F49" s="26" t="s">
        <v>98</v>
      </c>
      <c r="G49" s="26"/>
      <c r="H49" s="26" t="s">
        <v>99</v>
      </c>
      <c r="I49" s="26" t="s">
        <v>75</v>
      </c>
      <c r="J49" s="25"/>
      <c r="K49" s="27" t="s">
        <v>194</v>
      </c>
      <c r="L49" s="29">
        <v>0</v>
      </c>
      <c r="M49" s="29">
        <f>ROUNDDOWN(QUOTIENT(PRODUCT(テーブル25[[#This Row],[国庫補助基本額【上限100万円】]],2),3),-3)</f>
        <v>0</v>
      </c>
      <c r="N49" s="29">
        <v>0</v>
      </c>
      <c r="O49" s="28" t="s">
        <v>195</v>
      </c>
    </row>
    <row r="50" spans="1:15" s="19" customFormat="1" ht="27.75" customHeight="1">
      <c r="A50" s="24">
        <v>49</v>
      </c>
      <c r="B50" s="24"/>
      <c r="C50" s="25" t="s">
        <v>180</v>
      </c>
      <c r="D50" s="26" t="s">
        <v>192</v>
      </c>
      <c r="E50" s="26"/>
      <c r="F50" s="26" t="s">
        <v>317</v>
      </c>
      <c r="G50" s="26"/>
      <c r="H50" s="26" t="s">
        <v>193</v>
      </c>
      <c r="I50" s="26" t="s">
        <v>75</v>
      </c>
      <c r="J50" s="25"/>
      <c r="K50" s="27" t="s">
        <v>194</v>
      </c>
      <c r="L50" s="29">
        <v>0</v>
      </c>
      <c r="M50" s="29">
        <f>ROUNDDOWN(QUOTIENT(PRODUCT(テーブル25[[#This Row],[国庫補助基本額【上限100万円】]],2),3),-3)</f>
        <v>0</v>
      </c>
      <c r="N50" s="29">
        <v>0</v>
      </c>
      <c r="O50" s="28" t="s">
        <v>195</v>
      </c>
    </row>
    <row r="51" spans="1:15" ht="27.75" customHeight="1">
      <c r="A51" s="67">
        <f>SUBTOTAL(103,テーブル25[№])</f>
        <v>49</v>
      </c>
      <c r="B51" s="67">
        <f>SUBTOTAL(103,テーブル25[№2])</f>
        <v>19</v>
      </c>
      <c r="C51" s="67"/>
      <c r="D51" s="67"/>
      <c r="E51" s="67"/>
      <c r="F51" s="67"/>
      <c r="G51" s="67"/>
      <c r="H51" s="67"/>
      <c r="I51" s="67"/>
      <c r="J51" s="77"/>
      <c r="K51" s="67"/>
      <c r="L51" s="67">
        <f>SUBTOTAL(109,テーブル25[参考：　採択（予定）金額])</f>
        <v>24173000</v>
      </c>
      <c r="M51" s="67">
        <f>SUBTOTAL(109,テーブル25[検算])</f>
        <v>24173000</v>
      </c>
      <c r="N51" s="67">
        <f>SUBTOTAL(109,テーブル25[国庫補助基本額【上限100万円】])</f>
        <v>36302484</v>
      </c>
      <c r="O51" s="67"/>
    </row>
  </sheetData>
  <phoneticPr fontId="1"/>
  <dataValidations count="2">
    <dataValidation type="list" allowBlank="1" showInputMessage="1" showErrorMessage="1" sqref="J2:J50" xr:uid="{00000000-0002-0000-0A00-000000000000}">
      <formula1>"１位,２位,３位"</formula1>
    </dataValidation>
    <dataValidation type="list" allowBlank="1" showInputMessage="1" showErrorMessage="1" sqref="K2:K50" xr:uid="{00000000-0002-0000-0A00-000001000000}">
      <formula1>"○,×"</formula1>
    </dataValidation>
  </dataValidations>
  <hyperlinks>
    <hyperlink ref="G41" r:id="rId1" xr:uid="{00000000-0004-0000-0A00-000000000000}"/>
  </hyperlinks>
  <pageMargins left="0.70866141732283472" right="0.70866141732283472" top="0.74803149606299213" bottom="0.74803149606299213" header="0.31496062992125984" footer="0.31496062992125984"/>
  <pageSetup paperSize="8" scale="48" fitToHeight="0" orientation="landscape" r:id="rId2"/>
  <headerFooter>
    <oddHeader>&amp;C&amp;"BIZ UDPゴシック,標準"&amp;16令和4年度障害福祉分野のICT導入モデル事業　対象事業所一覧</oddHeader>
  </headerFooter>
  <legacyDrawing r:id="rId3"/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>
    <tabColor rgb="FFFFC000"/>
    <pageSetUpPr fitToPage="1"/>
  </sheetPr>
  <dimension ref="A1:AO53"/>
  <sheetViews>
    <sheetView view="pageBreakPreview" zoomScale="90" zoomScaleNormal="100" zoomScaleSheetLayoutView="90" workbookViewId="0">
      <selection activeCell="AF25" sqref="AF25"/>
    </sheetView>
  </sheetViews>
  <sheetFormatPr defaultColWidth="9" defaultRowHeight="17.25" customHeight="1" outlineLevelCol="1"/>
  <cols>
    <col min="1" max="1" width="7.6328125" style="33" bestFit="1" customWidth="1"/>
    <col min="2" max="2" width="24.26953125" style="33" hidden="1" customWidth="1" outlineLevel="1"/>
    <col min="3" max="3" width="36.453125" style="33" hidden="1" customWidth="1" outlineLevel="1"/>
    <col min="4" max="4" width="8.26953125" style="33" hidden="1" customWidth="1" outlineLevel="1"/>
    <col min="5" max="6" width="11.26953125" style="33" hidden="1" customWidth="1" outlineLevel="1"/>
    <col min="7" max="7" width="18.453125" style="33" hidden="1" customWidth="1" outlineLevel="1"/>
    <col min="8" max="8" width="51.26953125" style="33" hidden="1" customWidth="1" outlineLevel="1"/>
    <col min="9" max="9" width="24.26953125" style="33" hidden="1" customWidth="1" outlineLevel="1"/>
    <col min="10" max="10" width="48.7265625" style="33" hidden="1" customWidth="1" outlineLevel="1"/>
    <col min="11" max="11" width="24.26953125" style="33" hidden="1" customWidth="1" outlineLevel="1"/>
    <col min="12" max="12" width="8.26953125" style="33" hidden="1" customWidth="1" outlineLevel="1"/>
    <col min="13" max="13" width="10.7265625" style="33" hidden="1" customWidth="1" outlineLevel="1"/>
    <col min="14" max="14" width="11.26953125" style="33" hidden="1" customWidth="1" outlineLevel="1"/>
    <col min="15" max="15" width="7.453125" style="33" hidden="1" customWidth="1" outlineLevel="1"/>
    <col min="16" max="16" width="11.26953125" style="33" hidden="1" customWidth="1" outlineLevel="1"/>
    <col min="17" max="17" width="7.453125" style="33" hidden="1" customWidth="1" outlineLevel="1"/>
    <col min="18" max="19" width="11.26953125" style="33" hidden="1" customWidth="1" outlineLevel="1"/>
    <col min="20" max="20" width="11.7265625" style="33" hidden="1" customWidth="1" outlineLevel="1"/>
    <col min="21" max="21" width="11.26953125" style="33" hidden="1" customWidth="1" outlineLevel="1"/>
    <col min="22" max="22" width="33" style="33" hidden="1" customWidth="1" outlineLevel="1"/>
    <col min="23" max="23" width="17.7265625" style="33" hidden="1" customWidth="1" outlineLevel="1"/>
    <col min="24" max="24" width="16.26953125" style="33" hidden="1" customWidth="1" outlineLevel="1"/>
    <col min="25" max="25" width="54.453125" style="33" customWidth="1" collapsed="1"/>
    <col min="26" max="26" width="51.90625" style="33" customWidth="1"/>
    <col min="27" max="27" width="34.36328125" style="33" hidden="1" customWidth="1"/>
    <col min="28" max="28" width="21.453125" style="33" hidden="1" customWidth="1" outlineLevel="1"/>
    <col min="29" max="29" width="40.453125" style="33" hidden="1" customWidth="1" outlineLevel="1"/>
    <col min="30" max="30" width="39.36328125" style="33" hidden="1" customWidth="1" outlineLevel="1"/>
    <col min="31" max="31" width="36.36328125" style="33" bestFit="1" customWidth="1" collapsed="1"/>
    <col min="32" max="32" width="32.36328125" style="33" bestFit="1" customWidth="1"/>
    <col min="33" max="33" width="62.7265625" style="33" hidden="1" customWidth="1" outlineLevel="1"/>
    <col min="34" max="34" width="60.7265625" style="33" hidden="1" customWidth="1" outlineLevel="1"/>
    <col min="35" max="35" width="75.36328125" style="33" hidden="1" customWidth="1" outlineLevel="1"/>
    <col min="36" max="36" width="9.36328125" style="33" hidden="1" customWidth="1" outlineLevel="1"/>
    <col min="37" max="37" width="75.6328125" style="33" hidden="1" customWidth="1" outlineLevel="1"/>
    <col min="38" max="38" width="21.26953125" style="33" hidden="1" customWidth="1" outlineLevel="1" collapsed="1"/>
    <col min="39" max="39" width="14" style="33" hidden="1" customWidth="1" outlineLevel="1"/>
    <col min="40" max="40" width="22.6328125" style="70" customWidth="1" collapsed="1"/>
    <col min="41" max="41" width="22.6328125" style="33" customWidth="1"/>
    <col min="42" max="16384" width="9" style="33"/>
  </cols>
  <sheetData>
    <row r="1" spans="1:41" ht="32.25" customHeight="1">
      <c r="A1" s="30" t="s">
        <v>2</v>
      </c>
      <c r="B1" s="31" t="s">
        <v>3</v>
      </c>
      <c r="C1" s="31" t="s">
        <v>4</v>
      </c>
      <c r="D1" s="31" t="s">
        <v>5</v>
      </c>
      <c r="E1" s="31" t="s">
        <v>6</v>
      </c>
      <c r="F1" s="31" t="s">
        <v>7</v>
      </c>
      <c r="G1" s="31" t="s">
        <v>8</v>
      </c>
      <c r="H1" s="31" t="s">
        <v>9</v>
      </c>
      <c r="I1" s="31" t="s">
        <v>10</v>
      </c>
      <c r="J1" s="31" t="s">
        <v>11</v>
      </c>
      <c r="K1" s="31" t="s">
        <v>12</v>
      </c>
      <c r="L1" s="31" t="s">
        <v>13</v>
      </c>
      <c r="M1" s="31" t="s">
        <v>14</v>
      </c>
      <c r="N1" s="31" t="s">
        <v>15</v>
      </c>
      <c r="O1" s="31" t="s">
        <v>16</v>
      </c>
      <c r="P1" s="31" t="s">
        <v>17</v>
      </c>
      <c r="Q1" s="31" t="s">
        <v>18</v>
      </c>
      <c r="R1" s="31" t="s">
        <v>19</v>
      </c>
      <c r="S1" s="31" t="s">
        <v>20</v>
      </c>
      <c r="T1" s="31" t="s">
        <v>21</v>
      </c>
      <c r="U1" s="31" t="s">
        <v>22</v>
      </c>
      <c r="V1" s="31" t="s">
        <v>23</v>
      </c>
      <c r="W1" s="31" t="s">
        <v>24</v>
      </c>
      <c r="X1" s="31" t="s">
        <v>81</v>
      </c>
      <c r="Y1" s="30" t="s">
        <v>25</v>
      </c>
      <c r="Z1" s="30" t="s">
        <v>26</v>
      </c>
      <c r="AA1" s="30" t="s">
        <v>28</v>
      </c>
      <c r="AB1" s="31" t="s">
        <v>29</v>
      </c>
      <c r="AC1" s="31" t="s">
        <v>262</v>
      </c>
      <c r="AD1" s="31" t="s">
        <v>263</v>
      </c>
      <c r="AE1" s="30" t="s">
        <v>264</v>
      </c>
      <c r="AF1" s="30" t="s">
        <v>265</v>
      </c>
      <c r="AG1" s="31" t="s">
        <v>266</v>
      </c>
      <c r="AH1" s="31" t="s">
        <v>267</v>
      </c>
      <c r="AI1" s="31" t="s">
        <v>268</v>
      </c>
      <c r="AJ1" s="31" t="s">
        <v>65</v>
      </c>
      <c r="AK1" s="31" t="s">
        <v>66</v>
      </c>
      <c r="AL1" s="32" t="s">
        <v>177</v>
      </c>
      <c r="AM1" s="32" t="s">
        <v>269</v>
      </c>
      <c r="AN1" s="71" t="s">
        <v>630</v>
      </c>
      <c r="AO1" s="71" t="s">
        <v>629</v>
      </c>
    </row>
    <row r="2" spans="1:41" s="31" customFormat="1" ht="17.25" customHeight="1">
      <c r="A2" s="34">
        <v>1</v>
      </c>
      <c r="B2" s="31" t="s">
        <v>270</v>
      </c>
      <c r="C2" s="69">
        <v>44547.690532407411</v>
      </c>
      <c r="D2" s="31" t="s">
        <v>68</v>
      </c>
      <c r="E2" s="31" t="s">
        <v>69</v>
      </c>
      <c r="F2" s="31" t="s">
        <v>271</v>
      </c>
      <c r="G2" s="68" t="s">
        <v>272</v>
      </c>
      <c r="H2" s="31" t="s">
        <v>181</v>
      </c>
      <c r="I2" s="31" t="s">
        <v>271</v>
      </c>
      <c r="J2" s="31" t="s">
        <v>182</v>
      </c>
      <c r="K2" s="31" t="s">
        <v>271</v>
      </c>
      <c r="L2" s="31" t="s">
        <v>273</v>
      </c>
      <c r="M2" s="31" t="s">
        <v>271</v>
      </c>
      <c r="N2" s="31" t="s">
        <v>271</v>
      </c>
      <c r="O2" s="31" t="s">
        <v>271</v>
      </c>
      <c r="P2" s="31" t="s">
        <v>271</v>
      </c>
      <c r="Q2" s="31" t="s">
        <v>271</v>
      </c>
      <c r="R2" s="31" t="s">
        <v>271</v>
      </c>
      <c r="S2" s="31" t="s">
        <v>271</v>
      </c>
      <c r="T2" s="31" t="s">
        <v>271</v>
      </c>
      <c r="U2" s="31" t="s">
        <v>271</v>
      </c>
      <c r="V2" s="31" t="s">
        <v>274</v>
      </c>
      <c r="W2" s="31" t="s">
        <v>271</v>
      </c>
      <c r="X2" s="31" t="s">
        <v>272</v>
      </c>
      <c r="Y2" s="35" t="s">
        <v>181</v>
      </c>
      <c r="Z2" s="35" t="s">
        <v>182</v>
      </c>
      <c r="AA2" s="36" t="s">
        <v>275</v>
      </c>
      <c r="AB2" s="31" t="s">
        <v>273</v>
      </c>
      <c r="AC2" s="31" t="s">
        <v>274</v>
      </c>
      <c r="AD2" s="31" t="s">
        <v>271</v>
      </c>
      <c r="AE2" s="37">
        <v>841030</v>
      </c>
      <c r="AF2" s="37">
        <v>841030</v>
      </c>
      <c r="AG2" s="31" t="s">
        <v>276</v>
      </c>
      <c r="AH2" s="31" t="s">
        <v>277</v>
      </c>
      <c r="AI2" s="31" t="s">
        <v>278</v>
      </c>
      <c r="AJ2" s="31" t="s">
        <v>271</v>
      </c>
      <c r="AK2" s="31" t="s">
        <v>279</v>
      </c>
      <c r="AL2" s="37">
        <v>841030</v>
      </c>
      <c r="AM2" s="31" t="b">
        <v>1</v>
      </c>
      <c r="AN2" s="71">
        <v>841030</v>
      </c>
      <c r="AO2" s="71">
        <f>テーブル24[[#This Row],[国庫補助基本額【上限100万円】]]-テーブル24[[#This Row],[内示用☑]]</f>
        <v>0</v>
      </c>
    </row>
    <row r="3" spans="1:41" ht="17.25" customHeight="1">
      <c r="A3" s="34">
        <v>2</v>
      </c>
      <c r="B3" s="31" t="s">
        <v>280</v>
      </c>
      <c r="C3" s="69">
        <v>44550.82236111111</v>
      </c>
      <c r="D3" s="31" t="s">
        <v>68</v>
      </c>
      <c r="E3" s="31" t="s">
        <v>69</v>
      </c>
      <c r="F3" s="31" t="s">
        <v>271</v>
      </c>
      <c r="G3" s="68" t="s">
        <v>281</v>
      </c>
      <c r="H3" s="31" t="s">
        <v>113</v>
      </c>
      <c r="I3" s="31" t="s">
        <v>271</v>
      </c>
      <c r="J3" s="31" t="s">
        <v>117</v>
      </c>
      <c r="K3" s="31" t="s">
        <v>271</v>
      </c>
      <c r="L3" s="31" t="s">
        <v>114</v>
      </c>
      <c r="M3" s="31" t="s">
        <v>271</v>
      </c>
      <c r="N3" s="31" t="s">
        <v>271</v>
      </c>
      <c r="O3" s="31" t="s">
        <v>271</v>
      </c>
      <c r="P3" s="31" t="s">
        <v>271</v>
      </c>
      <c r="Q3" s="31" t="s">
        <v>271</v>
      </c>
      <c r="R3" s="31" t="s">
        <v>271</v>
      </c>
      <c r="S3" s="31" t="s">
        <v>271</v>
      </c>
      <c r="T3" s="31" t="s">
        <v>271</v>
      </c>
      <c r="U3" s="31" t="s">
        <v>271</v>
      </c>
      <c r="V3" s="31" t="s">
        <v>116</v>
      </c>
      <c r="W3" s="31" t="s">
        <v>271</v>
      </c>
      <c r="X3" s="31" t="s">
        <v>281</v>
      </c>
      <c r="Y3" s="35" t="s">
        <v>113</v>
      </c>
      <c r="Z3" s="35" t="s">
        <v>117</v>
      </c>
      <c r="AA3" s="36" t="s">
        <v>282</v>
      </c>
      <c r="AB3" s="31" t="s">
        <v>114</v>
      </c>
      <c r="AC3" s="31" t="s">
        <v>116</v>
      </c>
      <c r="AD3" s="31" t="s">
        <v>271</v>
      </c>
      <c r="AE3" s="37">
        <v>776820</v>
      </c>
      <c r="AF3" s="37">
        <v>776820</v>
      </c>
      <c r="AG3" s="31" t="s">
        <v>283</v>
      </c>
      <c r="AH3" s="31" t="s">
        <v>284</v>
      </c>
      <c r="AI3" s="31" t="s">
        <v>285</v>
      </c>
      <c r="AJ3" s="31" t="s">
        <v>271</v>
      </c>
      <c r="AK3" s="31" t="s">
        <v>286</v>
      </c>
      <c r="AL3" s="37">
        <v>776820</v>
      </c>
      <c r="AM3" s="31" t="b">
        <v>1</v>
      </c>
      <c r="AN3" s="71">
        <v>776820</v>
      </c>
      <c r="AO3" s="71">
        <f>テーブル24[[#This Row],[国庫補助基本額【上限100万円】]]-テーブル24[[#This Row],[内示用☑]]</f>
        <v>0</v>
      </c>
    </row>
    <row r="4" spans="1:41" ht="17.25" customHeight="1">
      <c r="A4" s="34">
        <v>3</v>
      </c>
      <c r="B4" s="31" t="s">
        <v>287</v>
      </c>
      <c r="C4" s="69">
        <v>44550.8440162037</v>
      </c>
      <c r="D4" s="31" t="s">
        <v>68</v>
      </c>
      <c r="E4" s="31" t="s">
        <v>69</v>
      </c>
      <c r="F4" s="31" t="s">
        <v>271</v>
      </c>
      <c r="G4" s="68" t="s">
        <v>288</v>
      </c>
      <c r="H4" s="31" t="s">
        <v>113</v>
      </c>
      <c r="I4" s="31" t="s">
        <v>271</v>
      </c>
      <c r="J4" s="31" t="s">
        <v>184</v>
      </c>
      <c r="K4" s="31" t="s">
        <v>271</v>
      </c>
      <c r="L4" s="31" t="s">
        <v>114</v>
      </c>
      <c r="M4" s="31" t="s">
        <v>271</v>
      </c>
      <c r="N4" s="31" t="s">
        <v>271</v>
      </c>
      <c r="O4" s="31" t="s">
        <v>271</v>
      </c>
      <c r="P4" s="31" t="s">
        <v>271</v>
      </c>
      <c r="Q4" s="31" t="s">
        <v>271</v>
      </c>
      <c r="R4" s="31" t="s">
        <v>271</v>
      </c>
      <c r="S4" s="31" t="s">
        <v>271</v>
      </c>
      <c r="T4" s="31" t="s">
        <v>271</v>
      </c>
      <c r="U4" s="31" t="s">
        <v>271</v>
      </c>
      <c r="V4" s="31" t="s">
        <v>116</v>
      </c>
      <c r="W4" s="31" t="s">
        <v>271</v>
      </c>
      <c r="X4" s="31" t="s">
        <v>288</v>
      </c>
      <c r="Y4" s="35" t="s">
        <v>113</v>
      </c>
      <c r="Z4" s="35" t="s">
        <v>184</v>
      </c>
      <c r="AA4" s="36" t="s">
        <v>275</v>
      </c>
      <c r="AB4" s="31" t="s">
        <v>114</v>
      </c>
      <c r="AC4" s="31" t="s">
        <v>116</v>
      </c>
      <c r="AD4" s="31" t="s">
        <v>271</v>
      </c>
      <c r="AE4" s="37">
        <v>3105000</v>
      </c>
      <c r="AF4" s="37">
        <v>1000000</v>
      </c>
      <c r="AG4" s="31" t="s">
        <v>289</v>
      </c>
      <c r="AH4" s="31" t="s">
        <v>290</v>
      </c>
      <c r="AI4" s="31" t="s">
        <v>291</v>
      </c>
      <c r="AJ4" s="31" t="s">
        <v>271</v>
      </c>
      <c r="AK4" s="31" t="s">
        <v>292</v>
      </c>
      <c r="AL4" s="37">
        <v>1000000</v>
      </c>
      <c r="AM4" s="31" t="b">
        <v>1</v>
      </c>
      <c r="AN4" s="71">
        <v>1000000</v>
      </c>
      <c r="AO4" s="71">
        <f>テーブル24[[#This Row],[国庫補助基本額【上限100万円】]]-テーブル24[[#This Row],[内示用☑]]</f>
        <v>0</v>
      </c>
    </row>
    <row r="5" spans="1:41" ht="17.25" customHeight="1">
      <c r="A5" s="34">
        <v>4</v>
      </c>
      <c r="B5" s="31" t="s">
        <v>293</v>
      </c>
      <c r="C5" s="69">
        <v>44551.448148148149</v>
      </c>
      <c r="D5" s="31" t="s">
        <v>68</v>
      </c>
      <c r="E5" s="31" t="s">
        <v>69</v>
      </c>
      <c r="F5" s="31" t="s">
        <v>271</v>
      </c>
      <c r="G5" s="68" t="s">
        <v>288</v>
      </c>
      <c r="H5" s="31" t="s">
        <v>185</v>
      </c>
      <c r="I5" s="31" t="s">
        <v>271</v>
      </c>
      <c r="J5" s="31" t="s">
        <v>258</v>
      </c>
      <c r="K5" s="31" t="s">
        <v>271</v>
      </c>
      <c r="L5" s="31" t="s">
        <v>294</v>
      </c>
      <c r="M5" s="31" t="s">
        <v>271</v>
      </c>
      <c r="N5" s="31" t="s">
        <v>271</v>
      </c>
      <c r="O5" s="31" t="s">
        <v>271</v>
      </c>
      <c r="P5" s="31" t="s">
        <v>271</v>
      </c>
      <c r="Q5" s="31" t="s">
        <v>271</v>
      </c>
      <c r="R5" s="31" t="s">
        <v>271</v>
      </c>
      <c r="S5" s="31" t="s">
        <v>271</v>
      </c>
      <c r="T5" s="31" t="s">
        <v>271</v>
      </c>
      <c r="U5" s="31" t="s">
        <v>271</v>
      </c>
      <c r="V5" s="31" t="s">
        <v>295</v>
      </c>
      <c r="W5" s="31" t="s">
        <v>271</v>
      </c>
      <c r="X5" s="31" t="s">
        <v>288</v>
      </c>
      <c r="Y5" s="35" t="s">
        <v>185</v>
      </c>
      <c r="Z5" s="35" t="s">
        <v>258</v>
      </c>
      <c r="AA5" s="36" t="s">
        <v>275</v>
      </c>
      <c r="AB5" s="31" t="s">
        <v>294</v>
      </c>
      <c r="AC5" s="31" t="s">
        <v>295</v>
      </c>
      <c r="AD5" s="31" t="s">
        <v>271</v>
      </c>
      <c r="AE5" s="37">
        <v>1355100</v>
      </c>
      <c r="AF5" s="37">
        <v>1000000</v>
      </c>
      <c r="AG5" s="31" t="s">
        <v>296</v>
      </c>
      <c r="AH5" s="31" t="s">
        <v>297</v>
      </c>
      <c r="AI5" s="31" t="s">
        <v>298</v>
      </c>
      <c r="AJ5" s="31" t="s">
        <v>271</v>
      </c>
      <c r="AK5" s="31" t="s">
        <v>299</v>
      </c>
      <c r="AL5" s="37">
        <v>1000000</v>
      </c>
      <c r="AM5" s="31" t="b">
        <v>1</v>
      </c>
      <c r="AN5" s="71">
        <v>1000000</v>
      </c>
      <c r="AO5" s="71">
        <f>テーブル24[[#This Row],[国庫補助基本額【上限100万円】]]-テーブル24[[#This Row],[内示用☑]]</f>
        <v>0</v>
      </c>
    </row>
    <row r="6" spans="1:41" ht="17.25" customHeight="1">
      <c r="A6" s="34">
        <v>5</v>
      </c>
      <c r="B6" s="31" t="s">
        <v>300</v>
      </c>
      <c r="C6" s="69">
        <v>44551.485254629632</v>
      </c>
      <c r="D6" s="31" t="s">
        <v>68</v>
      </c>
      <c r="E6" s="31" t="s">
        <v>69</v>
      </c>
      <c r="F6" s="31" t="s">
        <v>271</v>
      </c>
      <c r="G6" s="68" t="s">
        <v>288</v>
      </c>
      <c r="H6" s="31" t="s">
        <v>187</v>
      </c>
      <c r="I6" s="31" t="s">
        <v>271</v>
      </c>
      <c r="J6" s="31" t="s">
        <v>188</v>
      </c>
      <c r="K6" s="31" t="s">
        <v>271</v>
      </c>
      <c r="L6" s="31" t="s">
        <v>301</v>
      </c>
      <c r="M6" s="31" t="s">
        <v>271</v>
      </c>
      <c r="N6" s="31" t="s">
        <v>271</v>
      </c>
      <c r="O6" s="31" t="s">
        <v>271</v>
      </c>
      <c r="P6" s="31" t="s">
        <v>271</v>
      </c>
      <c r="Q6" s="31" t="s">
        <v>271</v>
      </c>
      <c r="R6" s="31" t="s">
        <v>271</v>
      </c>
      <c r="S6" s="31" t="s">
        <v>271</v>
      </c>
      <c r="T6" s="31" t="s">
        <v>271</v>
      </c>
      <c r="U6" s="31" t="s">
        <v>271</v>
      </c>
      <c r="V6" s="31" t="s">
        <v>302</v>
      </c>
      <c r="W6" s="31" t="s">
        <v>271</v>
      </c>
      <c r="X6" s="31" t="s">
        <v>288</v>
      </c>
      <c r="Y6" s="35" t="s">
        <v>187</v>
      </c>
      <c r="Z6" s="35" t="s">
        <v>188</v>
      </c>
      <c r="AA6" s="36" t="s">
        <v>189</v>
      </c>
      <c r="AB6" s="31" t="s">
        <v>301</v>
      </c>
      <c r="AC6" s="31" t="s">
        <v>302</v>
      </c>
      <c r="AD6" s="31" t="s">
        <v>271</v>
      </c>
      <c r="AE6" s="37">
        <v>281400</v>
      </c>
      <c r="AF6" s="37">
        <v>281400</v>
      </c>
      <c r="AG6" s="31" t="s">
        <v>303</v>
      </c>
      <c r="AH6" s="31" t="s">
        <v>304</v>
      </c>
      <c r="AI6" s="31" t="s">
        <v>305</v>
      </c>
      <c r="AJ6" s="31" t="s">
        <v>271</v>
      </c>
      <c r="AK6" s="31" t="s">
        <v>306</v>
      </c>
      <c r="AL6" s="37">
        <v>281400</v>
      </c>
      <c r="AM6" s="31" t="b">
        <v>1</v>
      </c>
      <c r="AN6" s="71">
        <v>281400</v>
      </c>
      <c r="AO6" s="71">
        <f>テーブル24[[#This Row],[国庫補助基本額【上限100万円】]]-テーブル24[[#This Row],[内示用☑]]</f>
        <v>0</v>
      </c>
    </row>
    <row r="7" spans="1:41" ht="17.25" customHeight="1">
      <c r="A7" s="34">
        <v>6</v>
      </c>
      <c r="B7" s="31" t="s">
        <v>307</v>
      </c>
      <c r="C7" s="69">
        <v>44551.539513888885</v>
      </c>
      <c r="D7" s="31" t="s">
        <v>68</v>
      </c>
      <c r="E7" s="31" t="s">
        <v>69</v>
      </c>
      <c r="F7" s="31" t="s">
        <v>271</v>
      </c>
      <c r="G7" s="68" t="s">
        <v>288</v>
      </c>
      <c r="H7" s="31" t="s">
        <v>308</v>
      </c>
      <c r="I7" s="31" t="s">
        <v>271</v>
      </c>
      <c r="J7" s="31" t="s">
        <v>191</v>
      </c>
      <c r="K7" s="31" t="s">
        <v>271</v>
      </c>
      <c r="L7" s="31" t="s">
        <v>309</v>
      </c>
      <c r="M7" s="31" t="s">
        <v>271</v>
      </c>
      <c r="N7" s="31" t="s">
        <v>271</v>
      </c>
      <c r="O7" s="31" t="s">
        <v>271</v>
      </c>
      <c r="P7" s="31" t="s">
        <v>271</v>
      </c>
      <c r="Q7" s="31" t="s">
        <v>271</v>
      </c>
      <c r="R7" s="31" t="s">
        <v>271</v>
      </c>
      <c r="S7" s="31" t="s">
        <v>271</v>
      </c>
      <c r="T7" s="31" t="s">
        <v>271</v>
      </c>
      <c r="U7" s="31" t="s">
        <v>271</v>
      </c>
      <c r="V7" s="31" t="s">
        <v>310</v>
      </c>
      <c r="W7" s="31" t="s">
        <v>271</v>
      </c>
      <c r="X7" s="31" t="s">
        <v>288</v>
      </c>
      <c r="Y7" s="35" t="s">
        <v>308</v>
      </c>
      <c r="Z7" s="35" t="s">
        <v>191</v>
      </c>
      <c r="AA7" s="36" t="s">
        <v>275</v>
      </c>
      <c r="AB7" s="31" t="s">
        <v>309</v>
      </c>
      <c r="AC7" s="31" t="s">
        <v>310</v>
      </c>
      <c r="AD7" s="31" t="s">
        <v>271</v>
      </c>
      <c r="AE7" s="37">
        <v>1084600</v>
      </c>
      <c r="AF7" s="37">
        <v>1000000</v>
      </c>
      <c r="AG7" s="31" t="s">
        <v>311</v>
      </c>
      <c r="AH7" s="31" t="s">
        <v>312</v>
      </c>
      <c r="AI7" s="31" t="s">
        <v>313</v>
      </c>
      <c r="AJ7" s="31" t="s">
        <v>271</v>
      </c>
      <c r="AK7" s="31" t="s">
        <v>314</v>
      </c>
      <c r="AL7" s="37">
        <v>1000000</v>
      </c>
      <c r="AM7" s="31" t="b">
        <v>1</v>
      </c>
      <c r="AN7" s="71">
        <v>1000000</v>
      </c>
      <c r="AO7" s="71">
        <f>テーブル24[[#This Row],[国庫補助基本額【上限100万円】]]-テーブル24[[#This Row],[内示用☑]]</f>
        <v>0</v>
      </c>
    </row>
    <row r="8" spans="1:41" ht="17.25" customHeight="1">
      <c r="A8" s="34">
        <v>7</v>
      </c>
      <c r="B8" s="31" t="s">
        <v>315</v>
      </c>
      <c r="C8" s="69">
        <v>44551.613900462966</v>
      </c>
      <c r="D8" s="31" t="s">
        <v>68</v>
      </c>
      <c r="E8" s="31" t="s">
        <v>69</v>
      </c>
      <c r="F8" s="31" t="s">
        <v>271</v>
      </c>
      <c r="G8" s="68" t="s">
        <v>288</v>
      </c>
      <c r="H8" s="31" t="s">
        <v>192</v>
      </c>
      <c r="I8" s="31" t="s">
        <v>271</v>
      </c>
      <c r="J8" s="31" t="s">
        <v>193</v>
      </c>
      <c r="K8" s="31" t="s">
        <v>271</v>
      </c>
      <c r="L8" s="31" t="s">
        <v>316</v>
      </c>
      <c r="M8" s="31" t="s">
        <v>271</v>
      </c>
      <c r="N8" s="31" t="s">
        <v>271</v>
      </c>
      <c r="O8" s="31" t="s">
        <v>271</v>
      </c>
      <c r="P8" s="31" t="s">
        <v>271</v>
      </c>
      <c r="Q8" s="31" t="s">
        <v>271</v>
      </c>
      <c r="R8" s="31" t="s">
        <v>271</v>
      </c>
      <c r="S8" s="31" t="s">
        <v>271</v>
      </c>
      <c r="T8" s="31" t="s">
        <v>271</v>
      </c>
      <c r="U8" s="31" t="s">
        <v>271</v>
      </c>
      <c r="V8" s="31" t="s">
        <v>317</v>
      </c>
      <c r="W8" s="31" t="s">
        <v>318</v>
      </c>
      <c r="X8" s="31" t="s">
        <v>288</v>
      </c>
      <c r="Y8" s="35" t="s">
        <v>192</v>
      </c>
      <c r="Z8" s="35" t="s">
        <v>193</v>
      </c>
      <c r="AA8" s="36" t="s">
        <v>275</v>
      </c>
      <c r="AB8" s="31" t="s">
        <v>316</v>
      </c>
      <c r="AC8" s="31" t="s">
        <v>317</v>
      </c>
      <c r="AD8" s="31" t="s">
        <v>318</v>
      </c>
      <c r="AE8" s="37">
        <v>1320200</v>
      </c>
      <c r="AF8" s="37">
        <v>1000000</v>
      </c>
      <c r="AG8" s="31" t="s">
        <v>319</v>
      </c>
      <c r="AH8" s="31" t="s">
        <v>320</v>
      </c>
      <c r="AI8" s="31" t="s">
        <v>321</v>
      </c>
      <c r="AJ8" s="31" t="s">
        <v>271</v>
      </c>
      <c r="AK8" s="31" t="s">
        <v>322</v>
      </c>
      <c r="AL8" s="37">
        <v>1000000</v>
      </c>
      <c r="AM8" s="31" t="b">
        <v>1</v>
      </c>
      <c r="AN8" s="71">
        <v>0</v>
      </c>
      <c r="AO8" s="71">
        <f>テーブル24[[#This Row],[国庫補助基本額【上限100万円】]]-テーブル24[[#This Row],[内示用☑]]</f>
        <v>1000000</v>
      </c>
    </row>
    <row r="9" spans="1:41" ht="17.25" customHeight="1">
      <c r="A9" s="34">
        <v>8</v>
      </c>
      <c r="B9" s="31" t="s">
        <v>323</v>
      </c>
      <c r="C9" s="69">
        <v>44551.6249537037</v>
      </c>
      <c r="D9" s="31" t="s">
        <v>68</v>
      </c>
      <c r="E9" s="31" t="s">
        <v>69</v>
      </c>
      <c r="F9" s="31" t="s">
        <v>271</v>
      </c>
      <c r="G9" s="68" t="s">
        <v>288</v>
      </c>
      <c r="H9" s="31" t="s">
        <v>185</v>
      </c>
      <c r="I9" s="31" t="s">
        <v>271</v>
      </c>
      <c r="J9" s="31" t="s">
        <v>196</v>
      </c>
      <c r="K9" s="31" t="s">
        <v>271</v>
      </c>
      <c r="L9" s="31" t="s">
        <v>324</v>
      </c>
      <c r="M9" s="31" t="s">
        <v>271</v>
      </c>
      <c r="N9" s="31" t="s">
        <v>271</v>
      </c>
      <c r="O9" s="31" t="s">
        <v>271</v>
      </c>
      <c r="P9" s="31" t="s">
        <v>271</v>
      </c>
      <c r="Q9" s="31" t="s">
        <v>271</v>
      </c>
      <c r="R9" s="31" t="s">
        <v>271</v>
      </c>
      <c r="S9" s="31" t="s">
        <v>271</v>
      </c>
      <c r="T9" s="31" t="s">
        <v>271</v>
      </c>
      <c r="U9" s="31" t="s">
        <v>271</v>
      </c>
      <c r="V9" s="31" t="s">
        <v>295</v>
      </c>
      <c r="W9" s="31" t="s">
        <v>271</v>
      </c>
      <c r="X9" s="31" t="s">
        <v>288</v>
      </c>
      <c r="Y9" s="35" t="s">
        <v>185</v>
      </c>
      <c r="Z9" s="35" t="s">
        <v>196</v>
      </c>
      <c r="AA9" s="36" t="s">
        <v>189</v>
      </c>
      <c r="AB9" s="31" t="s">
        <v>324</v>
      </c>
      <c r="AC9" s="31" t="s">
        <v>295</v>
      </c>
      <c r="AD9" s="31" t="s">
        <v>271</v>
      </c>
      <c r="AE9" s="37">
        <v>1415100</v>
      </c>
      <c r="AF9" s="37">
        <v>1000000</v>
      </c>
      <c r="AG9" s="31" t="s">
        <v>325</v>
      </c>
      <c r="AH9" s="31" t="s">
        <v>326</v>
      </c>
      <c r="AI9" s="31" t="s">
        <v>327</v>
      </c>
      <c r="AJ9" s="31" t="s">
        <v>271</v>
      </c>
      <c r="AK9" s="31" t="s">
        <v>328</v>
      </c>
      <c r="AL9" s="37">
        <v>1000000</v>
      </c>
      <c r="AM9" s="31" t="b">
        <v>1</v>
      </c>
      <c r="AN9" s="71">
        <v>1000000</v>
      </c>
      <c r="AO9" s="71">
        <f>テーブル24[[#This Row],[国庫補助基本額【上限100万円】]]-テーブル24[[#This Row],[内示用☑]]</f>
        <v>0</v>
      </c>
    </row>
    <row r="10" spans="1:41" ht="17.25" customHeight="1">
      <c r="A10" s="34">
        <v>9</v>
      </c>
      <c r="B10" s="31" t="s">
        <v>329</v>
      </c>
      <c r="C10" s="69">
        <v>44551.626226851855</v>
      </c>
      <c r="D10" s="31" t="s">
        <v>68</v>
      </c>
      <c r="E10" s="31" t="s">
        <v>69</v>
      </c>
      <c r="F10" s="31" t="s">
        <v>271</v>
      </c>
      <c r="G10" s="68" t="s">
        <v>288</v>
      </c>
      <c r="H10" s="31" t="s">
        <v>185</v>
      </c>
      <c r="I10" s="31" t="s">
        <v>271</v>
      </c>
      <c r="J10" s="31" t="s">
        <v>197</v>
      </c>
      <c r="K10" s="31" t="s">
        <v>271</v>
      </c>
      <c r="L10" s="31" t="s">
        <v>330</v>
      </c>
      <c r="M10" s="31" t="s">
        <v>271</v>
      </c>
      <c r="N10" s="31" t="s">
        <v>271</v>
      </c>
      <c r="O10" s="31" t="s">
        <v>271</v>
      </c>
      <c r="P10" s="31" t="s">
        <v>271</v>
      </c>
      <c r="Q10" s="31" t="s">
        <v>271</v>
      </c>
      <c r="R10" s="31" t="s">
        <v>271</v>
      </c>
      <c r="S10" s="31" t="s">
        <v>271</v>
      </c>
      <c r="T10" s="31" t="s">
        <v>271</v>
      </c>
      <c r="U10" s="31" t="s">
        <v>271</v>
      </c>
      <c r="V10" s="31" t="s">
        <v>295</v>
      </c>
      <c r="W10" s="31" t="s">
        <v>271</v>
      </c>
      <c r="X10" s="31" t="s">
        <v>288</v>
      </c>
      <c r="Y10" s="35" t="s">
        <v>185</v>
      </c>
      <c r="Z10" s="35" t="s">
        <v>197</v>
      </c>
      <c r="AA10" s="36" t="s">
        <v>275</v>
      </c>
      <c r="AB10" s="31" t="s">
        <v>330</v>
      </c>
      <c r="AC10" s="31" t="s">
        <v>295</v>
      </c>
      <c r="AD10" s="31" t="s">
        <v>271</v>
      </c>
      <c r="AE10" s="37">
        <v>1415100</v>
      </c>
      <c r="AF10" s="37">
        <v>1000000</v>
      </c>
      <c r="AG10" s="31" t="s">
        <v>331</v>
      </c>
      <c r="AH10" s="31" t="s">
        <v>332</v>
      </c>
      <c r="AI10" s="31" t="s">
        <v>327</v>
      </c>
      <c r="AJ10" s="31" t="s">
        <v>271</v>
      </c>
      <c r="AK10" s="31" t="s">
        <v>333</v>
      </c>
      <c r="AL10" s="37">
        <v>1000000</v>
      </c>
      <c r="AM10" s="31" t="b">
        <v>1</v>
      </c>
      <c r="AN10" s="71">
        <v>1000000</v>
      </c>
      <c r="AO10" s="71">
        <f>テーブル24[[#This Row],[国庫補助基本額【上限100万円】]]-テーブル24[[#This Row],[内示用☑]]</f>
        <v>0</v>
      </c>
    </row>
    <row r="11" spans="1:41" ht="17.25" customHeight="1">
      <c r="A11" s="34">
        <v>10</v>
      </c>
      <c r="B11" s="31" t="s">
        <v>334</v>
      </c>
      <c r="C11" s="69">
        <v>44551.663425925923</v>
      </c>
      <c r="D11" s="31" t="s">
        <v>68</v>
      </c>
      <c r="E11" s="31" t="s">
        <v>69</v>
      </c>
      <c r="F11" s="31" t="s">
        <v>271</v>
      </c>
      <c r="G11" s="68" t="s">
        <v>288</v>
      </c>
      <c r="H11" s="31" t="s">
        <v>95</v>
      </c>
      <c r="I11" s="31" t="s">
        <v>271</v>
      </c>
      <c r="J11" s="31" t="s">
        <v>99</v>
      </c>
      <c r="K11" s="31" t="s">
        <v>271</v>
      </c>
      <c r="L11" s="31" t="s">
        <v>96</v>
      </c>
      <c r="M11" s="31" t="s">
        <v>271</v>
      </c>
      <c r="N11" s="31" t="s">
        <v>271</v>
      </c>
      <c r="O11" s="31" t="s">
        <v>271</v>
      </c>
      <c r="P11" s="31" t="s">
        <v>271</v>
      </c>
      <c r="Q11" s="31" t="s">
        <v>271</v>
      </c>
      <c r="R11" s="31" t="s">
        <v>271</v>
      </c>
      <c r="S11" s="31" t="s">
        <v>271</v>
      </c>
      <c r="T11" s="31" t="s">
        <v>271</v>
      </c>
      <c r="U11" s="31" t="s">
        <v>271</v>
      </c>
      <c r="V11" s="31" t="s">
        <v>98</v>
      </c>
      <c r="W11" s="31" t="s">
        <v>271</v>
      </c>
      <c r="X11" s="31" t="s">
        <v>288</v>
      </c>
      <c r="Y11" s="35" t="s">
        <v>95</v>
      </c>
      <c r="Z11" s="35" t="s">
        <v>99</v>
      </c>
      <c r="AA11" s="36" t="s">
        <v>275</v>
      </c>
      <c r="AB11" s="31" t="s">
        <v>96</v>
      </c>
      <c r="AC11" s="31" t="s">
        <v>98</v>
      </c>
      <c r="AD11" s="31" t="s">
        <v>271</v>
      </c>
      <c r="AE11" s="37">
        <v>681580</v>
      </c>
      <c r="AF11" s="37">
        <v>681580</v>
      </c>
      <c r="AG11" s="31" t="s">
        <v>335</v>
      </c>
      <c r="AH11" s="31" t="s">
        <v>336</v>
      </c>
      <c r="AI11" s="31" t="s">
        <v>337</v>
      </c>
      <c r="AJ11" s="31" t="s">
        <v>271</v>
      </c>
      <c r="AK11" s="31" t="s">
        <v>338</v>
      </c>
      <c r="AL11" s="37">
        <v>681580</v>
      </c>
      <c r="AM11" s="31" t="b">
        <v>1</v>
      </c>
      <c r="AN11" s="71">
        <v>0</v>
      </c>
      <c r="AO11" s="71">
        <f>テーブル24[[#This Row],[国庫補助基本額【上限100万円】]]-テーブル24[[#This Row],[内示用☑]]</f>
        <v>681580</v>
      </c>
    </row>
    <row r="12" spans="1:41" ht="17.25" customHeight="1">
      <c r="A12" s="34">
        <v>11</v>
      </c>
      <c r="B12" s="31" t="s">
        <v>339</v>
      </c>
      <c r="C12" s="69">
        <v>44551.670636574076</v>
      </c>
      <c r="D12" s="31" t="s">
        <v>68</v>
      </c>
      <c r="E12" s="31" t="s">
        <v>69</v>
      </c>
      <c r="F12" s="31" t="s">
        <v>271</v>
      </c>
      <c r="G12" s="68" t="s">
        <v>288</v>
      </c>
      <c r="H12" s="31" t="s">
        <v>308</v>
      </c>
      <c r="I12" s="31" t="s">
        <v>271</v>
      </c>
      <c r="J12" s="31" t="s">
        <v>198</v>
      </c>
      <c r="K12" s="31" t="s">
        <v>271</v>
      </c>
      <c r="L12" s="31" t="s">
        <v>340</v>
      </c>
      <c r="M12" s="31" t="s">
        <v>271</v>
      </c>
      <c r="N12" s="31" t="s">
        <v>271</v>
      </c>
      <c r="O12" s="31" t="s">
        <v>271</v>
      </c>
      <c r="P12" s="31" t="s">
        <v>271</v>
      </c>
      <c r="Q12" s="31" t="s">
        <v>271</v>
      </c>
      <c r="R12" s="31" t="s">
        <v>271</v>
      </c>
      <c r="S12" s="31" t="s">
        <v>271</v>
      </c>
      <c r="T12" s="31" t="s">
        <v>271</v>
      </c>
      <c r="U12" s="31" t="s">
        <v>271</v>
      </c>
      <c r="V12" s="31" t="s">
        <v>341</v>
      </c>
      <c r="W12" s="31" t="s">
        <v>342</v>
      </c>
      <c r="X12" s="31" t="s">
        <v>288</v>
      </c>
      <c r="Y12" s="35" t="s">
        <v>308</v>
      </c>
      <c r="Z12" s="35" t="s">
        <v>198</v>
      </c>
      <c r="AA12" s="36" t="s">
        <v>275</v>
      </c>
      <c r="AB12" s="31" t="s">
        <v>340</v>
      </c>
      <c r="AC12" s="31" t="s">
        <v>341</v>
      </c>
      <c r="AD12" s="31" t="s">
        <v>342</v>
      </c>
      <c r="AE12" s="37">
        <v>507540</v>
      </c>
      <c r="AF12" s="37">
        <v>507540</v>
      </c>
      <c r="AG12" s="31" t="s">
        <v>343</v>
      </c>
      <c r="AH12" s="31" t="s">
        <v>344</v>
      </c>
      <c r="AI12" s="31" t="s">
        <v>345</v>
      </c>
      <c r="AJ12" s="31" t="s">
        <v>271</v>
      </c>
      <c r="AK12" s="31" t="s">
        <v>346</v>
      </c>
      <c r="AL12" s="37">
        <v>507540</v>
      </c>
      <c r="AM12" s="31" t="b">
        <v>1</v>
      </c>
      <c r="AN12" s="71">
        <v>507540</v>
      </c>
      <c r="AO12" s="71">
        <f>テーブル24[[#This Row],[国庫補助基本額【上限100万円】]]-テーブル24[[#This Row],[内示用☑]]</f>
        <v>0</v>
      </c>
    </row>
    <row r="13" spans="1:41" ht="17.25" customHeight="1">
      <c r="A13" s="34">
        <v>12</v>
      </c>
      <c r="B13" s="31" t="s">
        <v>347</v>
      </c>
      <c r="C13" s="69">
        <v>44551.682800925926</v>
      </c>
      <c r="D13" s="31" t="s">
        <v>68</v>
      </c>
      <c r="E13" s="31" t="s">
        <v>69</v>
      </c>
      <c r="F13" s="31" t="s">
        <v>271</v>
      </c>
      <c r="G13" s="68" t="s">
        <v>288</v>
      </c>
      <c r="H13" s="31" t="s">
        <v>113</v>
      </c>
      <c r="I13" s="31" t="s">
        <v>271</v>
      </c>
      <c r="J13" s="31" t="s">
        <v>348</v>
      </c>
      <c r="K13" s="31" t="s">
        <v>271</v>
      </c>
      <c r="L13" s="31" t="s">
        <v>349</v>
      </c>
      <c r="M13" s="31" t="s">
        <v>271</v>
      </c>
      <c r="N13" s="31" t="s">
        <v>271</v>
      </c>
      <c r="O13" s="31" t="s">
        <v>271</v>
      </c>
      <c r="P13" s="31" t="s">
        <v>271</v>
      </c>
      <c r="Q13" s="31" t="s">
        <v>271</v>
      </c>
      <c r="R13" s="31" t="s">
        <v>271</v>
      </c>
      <c r="S13" s="31" t="s">
        <v>271</v>
      </c>
      <c r="T13" s="31" t="s">
        <v>271</v>
      </c>
      <c r="U13" s="31" t="s">
        <v>271</v>
      </c>
      <c r="V13" s="31" t="s">
        <v>350</v>
      </c>
      <c r="W13" s="31" t="s">
        <v>351</v>
      </c>
      <c r="X13" s="31" t="s">
        <v>288</v>
      </c>
      <c r="Y13" s="35" t="s">
        <v>113</v>
      </c>
      <c r="Z13" s="35" t="s">
        <v>348</v>
      </c>
      <c r="AA13" s="36" t="s">
        <v>189</v>
      </c>
      <c r="AB13" s="31" t="s">
        <v>349</v>
      </c>
      <c r="AC13" s="31" t="s">
        <v>350</v>
      </c>
      <c r="AD13" s="31" t="s">
        <v>351</v>
      </c>
      <c r="AE13" s="37">
        <v>670450</v>
      </c>
      <c r="AF13" s="37">
        <v>670450</v>
      </c>
      <c r="AG13" s="31" t="s">
        <v>276</v>
      </c>
      <c r="AH13" s="31" t="s">
        <v>352</v>
      </c>
      <c r="AI13" s="31" t="s">
        <v>353</v>
      </c>
      <c r="AJ13" s="31" t="s">
        <v>271</v>
      </c>
      <c r="AK13" s="31" t="s">
        <v>354</v>
      </c>
      <c r="AL13" s="37">
        <v>670450</v>
      </c>
      <c r="AM13" s="31" t="b">
        <v>1</v>
      </c>
      <c r="AN13" s="71">
        <v>670450</v>
      </c>
      <c r="AO13" s="71">
        <f>テーブル24[[#This Row],[国庫補助基本額【上限100万円】]]-テーブル24[[#This Row],[内示用☑]]</f>
        <v>0</v>
      </c>
    </row>
    <row r="14" spans="1:41" ht="17.25" customHeight="1">
      <c r="A14" s="34">
        <v>13</v>
      </c>
      <c r="B14" s="31" t="s">
        <v>355</v>
      </c>
      <c r="C14" s="69">
        <v>44551.719155092593</v>
      </c>
      <c r="D14" s="31" t="s">
        <v>68</v>
      </c>
      <c r="E14" s="31" t="s">
        <v>69</v>
      </c>
      <c r="F14" s="31" t="s">
        <v>271</v>
      </c>
      <c r="G14" s="68" t="s">
        <v>288</v>
      </c>
      <c r="H14" s="31" t="s">
        <v>199</v>
      </c>
      <c r="I14" s="31" t="s">
        <v>271</v>
      </c>
      <c r="J14" s="31" t="s">
        <v>200</v>
      </c>
      <c r="K14" s="31" t="s">
        <v>271</v>
      </c>
      <c r="L14" s="31" t="s">
        <v>356</v>
      </c>
      <c r="M14" s="31" t="s">
        <v>271</v>
      </c>
      <c r="N14" s="31" t="s">
        <v>271</v>
      </c>
      <c r="O14" s="31" t="s">
        <v>271</v>
      </c>
      <c r="P14" s="31" t="s">
        <v>271</v>
      </c>
      <c r="Q14" s="31" t="s">
        <v>271</v>
      </c>
      <c r="R14" s="31" t="s">
        <v>271</v>
      </c>
      <c r="S14" s="31" t="s">
        <v>271</v>
      </c>
      <c r="T14" s="31" t="s">
        <v>271</v>
      </c>
      <c r="U14" s="31" t="s">
        <v>271</v>
      </c>
      <c r="V14" s="31" t="s">
        <v>357</v>
      </c>
      <c r="W14" s="31" t="s">
        <v>271</v>
      </c>
      <c r="X14" s="31" t="s">
        <v>288</v>
      </c>
      <c r="Y14" s="35" t="s">
        <v>199</v>
      </c>
      <c r="Z14" s="35" t="s">
        <v>200</v>
      </c>
      <c r="AA14" s="36" t="s">
        <v>189</v>
      </c>
      <c r="AB14" s="31" t="s">
        <v>356</v>
      </c>
      <c r="AC14" s="31" t="s">
        <v>357</v>
      </c>
      <c r="AD14" s="31" t="s">
        <v>271</v>
      </c>
      <c r="AE14" s="37">
        <v>1038360</v>
      </c>
      <c r="AF14" s="37">
        <v>1000000</v>
      </c>
      <c r="AG14" s="31" t="s">
        <v>358</v>
      </c>
      <c r="AH14" s="31" t="s">
        <v>359</v>
      </c>
      <c r="AI14" s="31" t="s">
        <v>360</v>
      </c>
      <c r="AJ14" s="31" t="s">
        <v>271</v>
      </c>
      <c r="AK14" s="31" t="s">
        <v>361</v>
      </c>
      <c r="AL14" s="37">
        <v>1000000</v>
      </c>
      <c r="AM14" s="31" t="b">
        <v>1</v>
      </c>
      <c r="AN14" s="71">
        <v>1000000</v>
      </c>
      <c r="AO14" s="71">
        <f>テーブル24[[#This Row],[国庫補助基本額【上限100万円】]]-テーブル24[[#This Row],[内示用☑]]</f>
        <v>0</v>
      </c>
    </row>
    <row r="15" spans="1:41" ht="17.25" customHeight="1">
      <c r="A15" s="34">
        <v>14</v>
      </c>
      <c r="B15" s="31" t="s">
        <v>362</v>
      </c>
      <c r="C15" s="69">
        <v>44551.724120370367</v>
      </c>
      <c r="D15" s="31" t="s">
        <v>68</v>
      </c>
      <c r="E15" s="31" t="s">
        <v>69</v>
      </c>
      <c r="F15" s="31" t="s">
        <v>271</v>
      </c>
      <c r="G15" s="68" t="s">
        <v>288</v>
      </c>
      <c r="H15" s="31" t="s">
        <v>201</v>
      </c>
      <c r="I15" s="31" t="s">
        <v>271</v>
      </c>
      <c r="J15" s="31" t="s">
        <v>202</v>
      </c>
      <c r="K15" s="31" t="s">
        <v>271</v>
      </c>
      <c r="L15" s="31" t="s">
        <v>363</v>
      </c>
      <c r="M15" s="31" t="s">
        <v>271</v>
      </c>
      <c r="N15" s="31" t="s">
        <v>271</v>
      </c>
      <c r="O15" s="31" t="s">
        <v>271</v>
      </c>
      <c r="P15" s="31" t="s">
        <v>271</v>
      </c>
      <c r="Q15" s="31" t="s">
        <v>271</v>
      </c>
      <c r="R15" s="31" t="s">
        <v>271</v>
      </c>
      <c r="S15" s="31" t="s">
        <v>271</v>
      </c>
      <c r="T15" s="31" t="s">
        <v>271</v>
      </c>
      <c r="U15" s="31" t="s">
        <v>271</v>
      </c>
      <c r="V15" s="31" t="s">
        <v>364</v>
      </c>
      <c r="W15" s="31" t="s">
        <v>271</v>
      </c>
      <c r="X15" s="31" t="s">
        <v>288</v>
      </c>
      <c r="Y15" s="35" t="s">
        <v>201</v>
      </c>
      <c r="Z15" s="35" t="s">
        <v>202</v>
      </c>
      <c r="AA15" s="36" t="s">
        <v>275</v>
      </c>
      <c r="AB15" s="31" t="s">
        <v>363</v>
      </c>
      <c r="AC15" s="31" t="s">
        <v>364</v>
      </c>
      <c r="AD15" s="31" t="s">
        <v>271</v>
      </c>
      <c r="AE15" s="37">
        <v>1877700</v>
      </c>
      <c r="AF15" s="37">
        <v>1000000</v>
      </c>
      <c r="AG15" s="31" t="s">
        <v>365</v>
      </c>
      <c r="AH15" s="31" t="s">
        <v>366</v>
      </c>
      <c r="AI15" s="31" t="s">
        <v>367</v>
      </c>
      <c r="AJ15" s="31" t="s">
        <v>271</v>
      </c>
      <c r="AK15" s="31" t="s">
        <v>368</v>
      </c>
      <c r="AL15" s="37">
        <v>1000000</v>
      </c>
      <c r="AM15" s="31" t="b">
        <v>1</v>
      </c>
      <c r="AN15" s="71">
        <v>1000000</v>
      </c>
      <c r="AO15" s="71">
        <f>テーブル24[[#This Row],[国庫補助基本額【上限100万円】]]-テーブル24[[#This Row],[内示用☑]]</f>
        <v>0</v>
      </c>
    </row>
    <row r="16" spans="1:41" ht="17.25" customHeight="1">
      <c r="A16" s="34">
        <v>15</v>
      </c>
      <c r="B16" s="31" t="s">
        <v>369</v>
      </c>
      <c r="C16" s="69">
        <v>44551.724999999999</v>
      </c>
      <c r="D16" s="31" t="s">
        <v>68</v>
      </c>
      <c r="E16" s="31" t="s">
        <v>69</v>
      </c>
      <c r="F16" s="31" t="s">
        <v>271</v>
      </c>
      <c r="G16" s="68" t="s">
        <v>288</v>
      </c>
      <c r="H16" s="31" t="s">
        <v>199</v>
      </c>
      <c r="I16" s="31" t="s">
        <v>271</v>
      </c>
      <c r="J16" s="31" t="s">
        <v>203</v>
      </c>
      <c r="K16" s="31" t="s">
        <v>271</v>
      </c>
      <c r="L16" s="31" t="s">
        <v>356</v>
      </c>
      <c r="M16" s="31" t="s">
        <v>271</v>
      </c>
      <c r="N16" s="31" t="s">
        <v>271</v>
      </c>
      <c r="O16" s="31" t="s">
        <v>271</v>
      </c>
      <c r="P16" s="31" t="s">
        <v>271</v>
      </c>
      <c r="Q16" s="31" t="s">
        <v>271</v>
      </c>
      <c r="R16" s="31" t="s">
        <v>271</v>
      </c>
      <c r="S16" s="31" t="s">
        <v>271</v>
      </c>
      <c r="T16" s="31" t="s">
        <v>271</v>
      </c>
      <c r="U16" s="31" t="s">
        <v>271</v>
      </c>
      <c r="V16" s="31" t="s">
        <v>357</v>
      </c>
      <c r="W16" s="31" t="s">
        <v>271</v>
      </c>
      <c r="X16" s="31" t="s">
        <v>288</v>
      </c>
      <c r="Y16" s="35" t="s">
        <v>199</v>
      </c>
      <c r="Z16" s="35" t="s">
        <v>203</v>
      </c>
      <c r="AA16" s="36" t="s">
        <v>189</v>
      </c>
      <c r="AB16" s="31" t="s">
        <v>356</v>
      </c>
      <c r="AC16" s="31" t="s">
        <v>357</v>
      </c>
      <c r="AD16" s="31" t="s">
        <v>271</v>
      </c>
      <c r="AE16" s="37">
        <v>1038360</v>
      </c>
      <c r="AF16" s="37">
        <v>1000000</v>
      </c>
      <c r="AG16" s="31" t="s">
        <v>370</v>
      </c>
      <c r="AH16" s="31" t="s">
        <v>371</v>
      </c>
      <c r="AI16" s="31" t="s">
        <v>360</v>
      </c>
      <c r="AJ16" s="31" t="s">
        <v>271</v>
      </c>
      <c r="AK16" s="31" t="s">
        <v>372</v>
      </c>
      <c r="AL16" s="37">
        <v>1000000</v>
      </c>
      <c r="AM16" s="31" t="b">
        <v>1</v>
      </c>
      <c r="AN16" s="71">
        <v>1000000</v>
      </c>
      <c r="AO16" s="71">
        <f>テーブル24[[#This Row],[国庫補助基本額【上限100万円】]]-テーブル24[[#This Row],[内示用☑]]</f>
        <v>0</v>
      </c>
    </row>
    <row r="17" spans="1:41" ht="17.25" customHeight="1">
      <c r="A17" s="34">
        <v>16</v>
      </c>
      <c r="B17" s="31" t="s">
        <v>373</v>
      </c>
      <c r="C17" s="69">
        <v>44551.726006944446</v>
      </c>
      <c r="D17" s="31" t="s">
        <v>68</v>
      </c>
      <c r="E17" s="31" t="s">
        <v>69</v>
      </c>
      <c r="F17" s="31" t="s">
        <v>271</v>
      </c>
      <c r="G17" s="68" t="s">
        <v>288</v>
      </c>
      <c r="H17" s="31" t="s">
        <v>199</v>
      </c>
      <c r="I17" s="31" t="s">
        <v>271</v>
      </c>
      <c r="J17" s="31" t="s">
        <v>204</v>
      </c>
      <c r="K17" s="31" t="s">
        <v>271</v>
      </c>
      <c r="L17" s="31" t="s">
        <v>356</v>
      </c>
      <c r="M17" s="31" t="s">
        <v>271</v>
      </c>
      <c r="N17" s="31" t="s">
        <v>271</v>
      </c>
      <c r="O17" s="31" t="s">
        <v>271</v>
      </c>
      <c r="P17" s="31" t="s">
        <v>271</v>
      </c>
      <c r="Q17" s="31" t="s">
        <v>271</v>
      </c>
      <c r="R17" s="31" t="s">
        <v>271</v>
      </c>
      <c r="S17" s="31" t="s">
        <v>271</v>
      </c>
      <c r="T17" s="31" t="s">
        <v>271</v>
      </c>
      <c r="U17" s="31" t="s">
        <v>271</v>
      </c>
      <c r="V17" s="31" t="s">
        <v>357</v>
      </c>
      <c r="W17" s="31" t="s">
        <v>271</v>
      </c>
      <c r="X17" s="31" t="s">
        <v>288</v>
      </c>
      <c r="Y17" s="35" t="s">
        <v>199</v>
      </c>
      <c r="Z17" s="35" t="s">
        <v>204</v>
      </c>
      <c r="AA17" s="36" t="s">
        <v>189</v>
      </c>
      <c r="AB17" s="31" t="s">
        <v>356</v>
      </c>
      <c r="AC17" s="31" t="s">
        <v>357</v>
      </c>
      <c r="AD17" s="31" t="s">
        <v>271</v>
      </c>
      <c r="AE17" s="37">
        <v>1038360</v>
      </c>
      <c r="AF17" s="37">
        <v>1000000</v>
      </c>
      <c r="AG17" s="31" t="s">
        <v>374</v>
      </c>
      <c r="AH17" s="31" t="s">
        <v>375</v>
      </c>
      <c r="AI17" s="31" t="s">
        <v>360</v>
      </c>
      <c r="AJ17" s="31" t="s">
        <v>271</v>
      </c>
      <c r="AK17" s="31" t="s">
        <v>376</v>
      </c>
      <c r="AL17" s="37">
        <v>1000000</v>
      </c>
      <c r="AM17" s="31" t="b">
        <v>1</v>
      </c>
      <c r="AN17" s="71">
        <v>1000000</v>
      </c>
      <c r="AO17" s="71">
        <f>テーブル24[[#This Row],[国庫補助基本額【上限100万円】]]-テーブル24[[#This Row],[内示用☑]]</f>
        <v>0</v>
      </c>
    </row>
    <row r="18" spans="1:41" ht="17.25" customHeight="1">
      <c r="A18" s="38">
        <v>17</v>
      </c>
      <c r="B18" s="31" t="s">
        <v>377</v>
      </c>
      <c r="C18" s="69" t="s">
        <v>378</v>
      </c>
      <c r="D18" s="31" t="s">
        <v>68</v>
      </c>
      <c r="E18" s="31" t="s">
        <v>69</v>
      </c>
      <c r="F18" s="31" t="s">
        <v>271</v>
      </c>
      <c r="G18" s="68" t="s">
        <v>379</v>
      </c>
      <c r="H18" s="31" t="s">
        <v>380</v>
      </c>
      <c r="I18" s="31" t="s">
        <v>271</v>
      </c>
      <c r="J18" s="31" t="s">
        <v>222</v>
      </c>
      <c r="K18" s="31" t="s">
        <v>271</v>
      </c>
      <c r="L18" s="31" t="s">
        <v>381</v>
      </c>
      <c r="M18" s="31" t="s">
        <v>271</v>
      </c>
      <c r="N18" s="31" t="s">
        <v>271</v>
      </c>
      <c r="O18" s="31" t="s">
        <v>271</v>
      </c>
      <c r="P18" s="31" t="s">
        <v>271</v>
      </c>
      <c r="Q18" s="31" t="s">
        <v>271</v>
      </c>
      <c r="R18" s="31" t="s">
        <v>271</v>
      </c>
      <c r="S18" s="31" t="s">
        <v>271</v>
      </c>
      <c r="T18" s="31" t="s">
        <v>271</v>
      </c>
      <c r="U18" s="31" t="s">
        <v>271</v>
      </c>
      <c r="V18" s="31" t="s">
        <v>382</v>
      </c>
      <c r="W18" s="31" t="s">
        <v>271</v>
      </c>
      <c r="X18" s="31" t="s">
        <v>379</v>
      </c>
      <c r="Y18" s="35" t="s">
        <v>209</v>
      </c>
      <c r="Z18" s="35" t="s">
        <v>383</v>
      </c>
      <c r="AA18" s="36" t="s">
        <v>207</v>
      </c>
      <c r="AB18" s="31" t="s">
        <v>384</v>
      </c>
      <c r="AC18" s="31" t="s">
        <v>385</v>
      </c>
      <c r="AD18" s="31" t="s">
        <v>271</v>
      </c>
      <c r="AE18" s="37">
        <v>1135795</v>
      </c>
      <c r="AF18" s="37">
        <v>1000000</v>
      </c>
      <c r="AG18" s="31" t="s">
        <v>386</v>
      </c>
      <c r="AH18" s="31" t="s">
        <v>387</v>
      </c>
      <c r="AI18" s="31" t="s">
        <v>388</v>
      </c>
      <c r="AJ18" s="31" t="s">
        <v>271</v>
      </c>
      <c r="AK18" s="31" t="s">
        <v>389</v>
      </c>
      <c r="AL18" s="37">
        <v>1000000</v>
      </c>
      <c r="AM18" s="31" t="b">
        <v>1</v>
      </c>
      <c r="AN18" s="71">
        <v>515795</v>
      </c>
      <c r="AO18" s="71">
        <f>テーブル24[[#This Row],[国庫補助基本額【上限100万円】]]-テーブル24[[#This Row],[内示用☑]]</f>
        <v>484205</v>
      </c>
    </row>
    <row r="19" spans="1:41" ht="17.25" customHeight="1">
      <c r="A19" s="38">
        <v>18</v>
      </c>
      <c r="B19" s="31" t="s">
        <v>390</v>
      </c>
      <c r="C19" s="69" t="s">
        <v>391</v>
      </c>
      <c r="D19" s="31" t="s">
        <v>68</v>
      </c>
      <c r="E19" s="31" t="s">
        <v>69</v>
      </c>
      <c r="F19" s="31" t="s">
        <v>271</v>
      </c>
      <c r="G19" s="68" t="s">
        <v>392</v>
      </c>
      <c r="H19" s="31" t="s">
        <v>224</v>
      </c>
      <c r="I19" s="31" t="s">
        <v>271</v>
      </c>
      <c r="J19" s="31" t="s">
        <v>225</v>
      </c>
      <c r="K19" s="31" t="s">
        <v>271</v>
      </c>
      <c r="L19" s="31" t="s">
        <v>393</v>
      </c>
      <c r="M19" s="31" t="s">
        <v>271</v>
      </c>
      <c r="N19" s="31" t="s">
        <v>271</v>
      </c>
      <c r="O19" s="31" t="s">
        <v>271</v>
      </c>
      <c r="P19" s="31" t="s">
        <v>271</v>
      </c>
      <c r="Q19" s="31" t="s">
        <v>271</v>
      </c>
      <c r="R19" s="31" t="s">
        <v>271</v>
      </c>
      <c r="S19" s="31" t="s">
        <v>271</v>
      </c>
      <c r="T19" s="31" t="s">
        <v>271</v>
      </c>
      <c r="U19" s="31" t="s">
        <v>271</v>
      </c>
      <c r="V19" s="31" t="s">
        <v>394</v>
      </c>
      <c r="W19" s="31" t="s">
        <v>271</v>
      </c>
      <c r="X19" s="31" t="s">
        <v>392</v>
      </c>
      <c r="Y19" s="35" t="s">
        <v>205</v>
      </c>
      <c r="Z19" s="35" t="s">
        <v>210</v>
      </c>
      <c r="AA19" s="36" t="s">
        <v>207</v>
      </c>
      <c r="AB19" s="31" t="s">
        <v>395</v>
      </c>
      <c r="AC19" s="31" t="s">
        <v>396</v>
      </c>
      <c r="AD19" s="31" t="s">
        <v>271</v>
      </c>
      <c r="AE19" s="37">
        <v>1387474</v>
      </c>
      <c r="AF19" s="37">
        <v>1000000</v>
      </c>
      <c r="AG19" s="31" t="s">
        <v>397</v>
      </c>
      <c r="AH19" s="31" t="s">
        <v>398</v>
      </c>
      <c r="AI19" s="31" t="s">
        <v>399</v>
      </c>
      <c r="AJ19" s="31" t="s">
        <v>271</v>
      </c>
      <c r="AK19" s="31" t="s">
        <v>400</v>
      </c>
      <c r="AL19" s="37">
        <v>1000000</v>
      </c>
      <c r="AM19" s="31" t="b">
        <v>1</v>
      </c>
      <c r="AN19" s="71">
        <v>1000000</v>
      </c>
      <c r="AO19" s="71">
        <f>テーブル24[[#This Row],[国庫補助基本額【上限100万円】]]-テーブル24[[#This Row],[内示用☑]]</f>
        <v>0</v>
      </c>
    </row>
    <row r="20" spans="1:41" ht="17.25" customHeight="1">
      <c r="A20" s="38">
        <v>19</v>
      </c>
      <c r="B20" s="31" t="s">
        <v>401</v>
      </c>
      <c r="C20" s="69" t="s">
        <v>402</v>
      </c>
      <c r="D20" s="31" t="s">
        <v>68</v>
      </c>
      <c r="E20" s="31" t="s">
        <v>69</v>
      </c>
      <c r="F20" s="31" t="s">
        <v>271</v>
      </c>
      <c r="G20" s="68" t="s">
        <v>281</v>
      </c>
      <c r="H20" s="31" t="s">
        <v>205</v>
      </c>
      <c r="I20" s="31" t="s">
        <v>271</v>
      </c>
      <c r="J20" s="31" t="s">
        <v>227</v>
      </c>
      <c r="K20" s="31" t="s">
        <v>271</v>
      </c>
      <c r="L20" s="31" t="s">
        <v>403</v>
      </c>
      <c r="M20" s="31" t="s">
        <v>271</v>
      </c>
      <c r="N20" s="31" t="s">
        <v>271</v>
      </c>
      <c r="O20" s="31" t="s">
        <v>271</v>
      </c>
      <c r="P20" s="31" t="s">
        <v>271</v>
      </c>
      <c r="Q20" s="31" t="s">
        <v>271</v>
      </c>
      <c r="R20" s="31" t="s">
        <v>271</v>
      </c>
      <c r="S20" s="31" t="s">
        <v>271</v>
      </c>
      <c r="T20" s="31" t="s">
        <v>271</v>
      </c>
      <c r="U20" s="31" t="s">
        <v>271</v>
      </c>
      <c r="V20" s="31" t="s">
        <v>404</v>
      </c>
      <c r="W20" s="31" t="s">
        <v>271</v>
      </c>
      <c r="X20" s="31" t="s">
        <v>281</v>
      </c>
      <c r="Y20" s="35" t="s">
        <v>405</v>
      </c>
      <c r="Z20" s="35" t="s">
        <v>211</v>
      </c>
      <c r="AA20" s="36" t="s">
        <v>212</v>
      </c>
      <c r="AB20" s="31" t="s">
        <v>406</v>
      </c>
      <c r="AC20" s="31" t="s">
        <v>407</v>
      </c>
      <c r="AD20" s="31" t="s">
        <v>271</v>
      </c>
      <c r="AE20" s="37">
        <v>774060</v>
      </c>
      <c r="AF20" s="37">
        <v>774060</v>
      </c>
      <c r="AG20" s="31" t="s">
        <v>408</v>
      </c>
      <c r="AH20" s="31" t="s">
        <v>290</v>
      </c>
      <c r="AI20" s="31" t="s">
        <v>409</v>
      </c>
      <c r="AJ20" s="31" t="s">
        <v>271</v>
      </c>
      <c r="AK20" s="31" t="s">
        <v>410</v>
      </c>
      <c r="AL20" s="37">
        <v>774060</v>
      </c>
      <c r="AM20" s="31" t="b">
        <v>1</v>
      </c>
      <c r="AN20" s="71">
        <v>774060</v>
      </c>
      <c r="AO20" s="71">
        <f>テーブル24[[#This Row],[国庫補助基本額【上限100万円】]]-テーブル24[[#This Row],[内示用☑]]</f>
        <v>0</v>
      </c>
    </row>
    <row r="21" spans="1:41" ht="17.25" customHeight="1">
      <c r="A21" s="38">
        <v>20</v>
      </c>
      <c r="B21" s="31" t="s">
        <v>411</v>
      </c>
      <c r="C21" s="69" t="s">
        <v>412</v>
      </c>
      <c r="D21" s="31" t="s">
        <v>68</v>
      </c>
      <c r="E21" s="31" t="s">
        <v>69</v>
      </c>
      <c r="F21" s="31" t="s">
        <v>271</v>
      </c>
      <c r="G21" s="68" t="s">
        <v>281</v>
      </c>
      <c r="H21" s="31" t="s">
        <v>228</v>
      </c>
      <c r="I21" s="31" t="s">
        <v>271</v>
      </c>
      <c r="J21" s="31" t="s">
        <v>229</v>
      </c>
      <c r="K21" s="31" t="s">
        <v>271</v>
      </c>
      <c r="L21" s="31" t="s">
        <v>413</v>
      </c>
      <c r="M21" s="31" t="s">
        <v>271</v>
      </c>
      <c r="N21" s="31" t="s">
        <v>271</v>
      </c>
      <c r="O21" s="31" t="s">
        <v>271</v>
      </c>
      <c r="P21" s="31" t="s">
        <v>271</v>
      </c>
      <c r="Q21" s="31" t="s">
        <v>271</v>
      </c>
      <c r="R21" s="31" t="s">
        <v>271</v>
      </c>
      <c r="S21" s="31" t="s">
        <v>271</v>
      </c>
      <c r="T21" s="31" t="s">
        <v>271</v>
      </c>
      <c r="U21" s="31" t="s">
        <v>271</v>
      </c>
      <c r="V21" s="31" t="s">
        <v>414</v>
      </c>
      <c r="W21" s="31" t="s">
        <v>271</v>
      </c>
      <c r="X21" s="31" t="s">
        <v>281</v>
      </c>
      <c r="Y21" s="35" t="s">
        <v>415</v>
      </c>
      <c r="Z21" s="35" t="s">
        <v>213</v>
      </c>
      <c r="AA21" s="36" t="s">
        <v>207</v>
      </c>
      <c r="AB21" s="31" t="s">
        <v>416</v>
      </c>
      <c r="AC21" s="31" t="s">
        <v>417</v>
      </c>
      <c r="AD21" s="31" t="s">
        <v>418</v>
      </c>
      <c r="AE21" s="37">
        <v>1732132</v>
      </c>
      <c r="AF21" s="37">
        <v>1000000</v>
      </c>
      <c r="AG21" s="31" t="s">
        <v>419</v>
      </c>
      <c r="AH21" s="31" t="s">
        <v>420</v>
      </c>
      <c r="AI21" s="31" t="s">
        <v>421</v>
      </c>
      <c r="AJ21" s="31" t="s">
        <v>271</v>
      </c>
      <c r="AK21" s="31" t="s">
        <v>422</v>
      </c>
      <c r="AL21" s="37">
        <v>1000000</v>
      </c>
      <c r="AM21" s="31" t="b">
        <v>1</v>
      </c>
      <c r="AN21" s="71">
        <v>1000000</v>
      </c>
      <c r="AO21" s="71">
        <f>テーブル24[[#This Row],[国庫補助基本額【上限100万円】]]-テーブル24[[#This Row],[内示用☑]]</f>
        <v>0</v>
      </c>
    </row>
    <row r="22" spans="1:41" ht="17.25" customHeight="1">
      <c r="A22" s="38">
        <v>21</v>
      </c>
      <c r="B22" s="31" t="s">
        <v>423</v>
      </c>
      <c r="C22" s="69" t="s">
        <v>424</v>
      </c>
      <c r="D22" s="31" t="s">
        <v>68</v>
      </c>
      <c r="E22" s="31" t="s">
        <v>69</v>
      </c>
      <c r="F22" s="31" t="s">
        <v>271</v>
      </c>
      <c r="G22" s="68" t="s">
        <v>281</v>
      </c>
      <c r="H22" s="31" t="s">
        <v>205</v>
      </c>
      <c r="I22" s="31" t="s">
        <v>271</v>
      </c>
      <c r="J22" s="31" t="s">
        <v>231</v>
      </c>
      <c r="K22" s="31" t="s">
        <v>271</v>
      </c>
      <c r="L22" s="31" t="s">
        <v>395</v>
      </c>
      <c r="M22" s="31" t="s">
        <v>271</v>
      </c>
      <c r="N22" s="31" t="s">
        <v>271</v>
      </c>
      <c r="O22" s="31" t="s">
        <v>271</v>
      </c>
      <c r="P22" s="31" t="s">
        <v>271</v>
      </c>
      <c r="Q22" s="31" t="s">
        <v>271</v>
      </c>
      <c r="R22" s="31" t="s">
        <v>271</v>
      </c>
      <c r="S22" s="31" t="s">
        <v>271</v>
      </c>
      <c r="T22" s="31" t="s">
        <v>271</v>
      </c>
      <c r="U22" s="31" t="s">
        <v>271</v>
      </c>
      <c r="V22" s="31" t="s">
        <v>396</v>
      </c>
      <c r="W22" s="31" t="s">
        <v>271</v>
      </c>
      <c r="X22" s="31" t="s">
        <v>281</v>
      </c>
      <c r="Y22" s="35" t="s">
        <v>214</v>
      </c>
      <c r="Z22" s="35" t="s">
        <v>215</v>
      </c>
      <c r="AA22" s="36" t="s">
        <v>212</v>
      </c>
      <c r="AB22" s="31" t="s">
        <v>425</v>
      </c>
      <c r="AC22" s="31" t="s">
        <v>426</v>
      </c>
      <c r="AD22" s="31" t="s">
        <v>271</v>
      </c>
      <c r="AE22" s="37">
        <v>75920</v>
      </c>
      <c r="AF22" s="37">
        <v>75920</v>
      </c>
      <c r="AG22" s="31" t="s">
        <v>427</v>
      </c>
      <c r="AH22" s="31" t="s">
        <v>428</v>
      </c>
      <c r="AI22" s="31" t="s">
        <v>429</v>
      </c>
      <c r="AJ22" s="31" t="s">
        <v>271</v>
      </c>
      <c r="AK22" s="31" t="s">
        <v>430</v>
      </c>
      <c r="AL22" s="37">
        <v>75920</v>
      </c>
      <c r="AM22" s="31" t="b">
        <v>1</v>
      </c>
      <c r="AN22" s="71">
        <v>75920</v>
      </c>
      <c r="AO22" s="71">
        <f>テーブル24[[#This Row],[国庫補助基本額【上限100万円】]]-テーブル24[[#This Row],[内示用☑]]</f>
        <v>0</v>
      </c>
    </row>
    <row r="23" spans="1:41" ht="17.25" customHeight="1">
      <c r="A23" s="38">
        <v>22</v>
      </c>
      <c r="B23" s="31" t="s">
        <v>431</v>
      </c>
      <c r="C23" s="69" t="s">
        <v>432</v>
      </c>
      <c r="D23" s="31" t="s">
        <v>68</v>
      </c>
      <c r="E23" s="31" t="s">
        <v>69</v>
      </c>
      <c r="F23" s="31" t="s">
        <v>271</v>
      </c>
      <c r="G23" s="68" t="s">
        <v>288</v>
      </c>
      <c r="H23" s="31" t="s">
        <v>209</v>
      </c>
      <c r="I23" s="31" t="s">
        <v>271</v>
      </c>
      <c r="J23" s="31" t="s">
        <v>232</v>
      </c>
      <c r="K23" s="31" t="s">
        <v>271</v>
      </c>
      <c r="L23" s="31" t="s">
        <v>433</v>
      </c>
      <c r="M23" s="31" t="s">
        <v>271</v>
      </c>
      <c r="N23" s="31" t="s">
        <v>271</v>
      </c>
      <c r="O23" s="31" t="s">
        <v>271</v>
      </c>
      <c r="P23" s="31" t="s">
        <v>271</v>
      </c>
      <c r="Q23" s="31" t="s">
        <v>271</v>
      </c>
      <c r="R23" s="31" t="s">
        <v>271</v>
      </c>
      <c r="S23" s="31" t="s">
        <v>271</v>
      </c>
      <c r="T23" s="31" t="s">
        <v>271</v>
      </c>
      <c r="U23" s="31" t="s">
        <v>271</v>
      </c>
      <c r="V23" s="31" t="s">
        <v>434</v>
      </c>
      <c r="W23" s="31" t="s">
        <v>271</v>
      </c>
      <c r="X23" s="31" t="s">
        <v>288</v>
      </c>
      <c r="Y23" s="35" t="s">
        <v>216</v>
      </c>
      <c r="Z23" s="35" t="s">
        <v>435</v>
      </c>
      <c r="AA23" s="36" t="s">
        <v>212</v>
      </c>
      <c r="AB23" s="31" t="s">
        <v>436</v>
      </c>
      <c r="AC23" s="31" t="s">
        <v>437</v>
      </c>
      <c r="AD23" s="31" t="s">
        <v>271</v>
      </c>
      <c r="AE23" s="37">
        <v>216474</v>
      </c>
      <c r="AF23" s="37">
        <v>216474</v>
      </c>
      <c r="AG23" s="31" t="s">
        <v>438</v>
      </c>
      <c r="AH23" s="31" t="s">
        <v>439</v>
      </c>
      <c r="AI23" s="31" t="s">
        <v>440</v>
      </c>
      <c r="AJ23" s="31" t="s">
        <v>271</v>
      </c>
      <c r="AK23" s="31" t="s">
        <v>441</v>
      </c>
      <c r="AL23" s="37">
        <v>216474</v>
      </c>
      <c r="AM23" s="31" t="b">
        <v>1</v>
      </c>
      <c r="AN23" s="71">
        <v>216474</v>
      </c>
      <c r="AO23" s="71">
        <f>テーブル24[[#This Row],[国庫補助基本額【上限100万円】]]-テーブル24[[#This Row],[内示用☑]]</f>
        <v>0</v>
      </c>
    </row>
    <row r="24" spans="1:41" ht="17.25" customHeight="1">
      <c r="A24" s="38">
        <v>23</v>
      </c>
      <c r="B24" s="31" t="s">
        <v>442</v>
      </c>
      <c r="C24" s="69" t="s">
        <v>443</v>
      </c>
      <c r="D24" s="31" t="s">
        <v>68</v>
      </c>
      <c r="E24" s="31" t="s">
        <v>69</v>
      </c>
      <c r="F24" s="31" t="s">
        <v>271</v>
      </c>
      <c r="G24" s="68" t="s">
        <v>288</v>
      </c>
      <c r="H24" s="31" t="s">
        <v>233</v>
      </c>
      <c r="I24" s="31" t="s">
        <v>271</v>
      </c>
      <c r="J24" s="31" t="s">
        <v>234</v>
      </c>
      <c r="K24" s="31" t="s">
        <v>271</v>
      </c>
      <c r="L24" s="31" t="s">
        <v>444</v>
      </c>
      <c r="M24" s="31" t="s">
        <v>271</v>
      </c>
      <c r="N24" s="31" t="s">
        <v>271</v>
      </c>
      <c r="O24" s="31" t="s">
        <v>271</v>
      </c>
      <c r="P24" s="31" t="s">
        <v>271</v>
      </c>
      <c r="Q24" s="31" t="s">
        <v>271</v>
      </c>
      <c r="R24" s="31" t="s">
        <v>271</v>
      </c>
      <c r="S24" s="31" t="s">
        <v>271</v>
      </c>
      <c r="T24" s="31" t="s">
        <v>271</v>
      </c>
      <c r="U24" s="31" t="s">
        <v>271</v>
      </c>
      <c r="V24" s="31" t="s">
        <v>445</v>
      </c>
      <c r="W24" s="31" t="s">
        <v>271</v>
      </c>
      <c r="X24" s="31" t="s">
        <v>288</v>
      </c>
      <c r="Y24" s="35" t="s">
        <v>205</v>
      </c>
      <c r="Z24" s="35" t="s">
        <v>217</v>
      </c>
      <c r="AA24" s="36" t="s">
        <v>212</v>
      </c>
      <c r="AB24" s="31" t="s">
        <v>446</v>
      </c>
      <c r="AC24" s="31" t="s">
        <v>447</v>
      </c>
      <c r="AD24" s="31" t="s">
        <v>448</v>
      </c>
      <c r="AE24" s="37">
        <v>922843</v>
      </c>
      <c r="AF24" s="37">
        <v>922843</v>
      </c>
      <c r="AG24" s="31" t="s">
        <v>449</v>
      </c>
      <c r="AH24" s="31" t="s">
        <v>450</v>
      </c>
      <c r="AI24" s="31" t="s">
        <v>451</v>
      </c>
      <c r="AJ24" s="31" t="s">
        <v>271</v>
      </c>
      <c r="AK24" s="31" t="s">
        <v>452</v>
      </c>
      <c r="AL24" s="37">
        <v>922843</v>
      </c>
      <c r="AM24" s="31" t="b">
        <v>1</v>
      </c>
      <c r="AN24" s="71">
        <v>922843</v>
      </c>
      <c r="AO24" s="71">
        <f>テーブル24[[#This Row],[国庫補助基本額【上限100万円】]]-テーブル24[[#This Row],[内示用☑]]</f>
        <v>0</v>
      </c>
    </row>
    <row r="25" spans="1:41" ht="17.25" customHeight="1">
      <c r="A25" s="38">
        <v>24</v>
      </c>
      <c r="B25" s="31" t="s">
        <v>453</v>
      </c>
      <c r="C25" s="69" t="s">
        <v>454</v>
      </c>
      <c r="D25" s="31" t="s">
        <v>68</v>
      </c>
      <c r="E25" s="31" t="s">
        <v>69</v>
      </c>
      <c r="F25" s="31" t="s">
        <v>271</v>
      </c>
      <c r="G25" s="68" t="s">
        <v>288</v>
      </c>
      <c r="H25" s="31" t="s">
        <v>205</v>
      </c>
      <c r="I25" s="31" t="s">
        <v>271</v>
      </c>
      <c r="J25" s="31" t="s">
        <v>235</v>
      </c>
      <c r="K25" s="31" t="s">
        <v>271</v>
      </c>
      <c r="L25" s="31" t="s">
        <v>455</v>
      </c>
      <c r="M25" s="31" t="s">
        <v>271</v>
      </c>
      <c r="N25" s="31" t="s">
        <v>271</v>
      </c>
      <c r="O25" s="31" t="s">
        <v>271</v>
      </c>
      <c r="P25" s="31" t="s">
        <v>271</v>
      </c>
      <c r="Q25" s="31" t="s">
        <v>271</v>
      </c>
      <c r="R25" s="31" t="s">
        <v>271</v>
      </c>
      <c r="S25" s="31" t="s">
        <v>271</v>
      </c>
      <c r="T25" s="31" t="s">
        <v>271</v>
      </c>
      <c r="U25" s="31" t="s">
        <v>271</v>
      </c>
      <c r="V25" s="31" t="s">
        <v>456</v>
      </c>
      <c r="W25" s="31" t="s">
        <v>271</v>
      </c>
      <c r="X25" s="31" t="s">
        <v>288</v>
      </c>
      <c r="Y25" s="35" t="s">
        <v>218</v>
      </c>
      <c r="Z25" s="35" t="s">
        <v>219</v>
      </c>
      <c r="AA25" s="36" t="s">
        <v>207</v>
      </c>
      <c r="AB25" s="31" t="s">
        <v>457</v>
      </c>
      <c r="AC25" s="31" t="s">
        <v>458</v>
      </c>
      <c r="AD25" s="31" t="s">
        <v>271</v>
      </c>
      <c r="AE25" s="37">
        <v>182912</v>
      </c>
      <c r="AF25" s="37">
        <v>182912</v>
      </c>
      <c r="AG25" s="31" t="s">
        <v>408</v>
      </c>
      <c r="AH25" s="31" t="s">
        <v>290</v>
      </c>
      <c r="AI25" s="31" t="s">
        <v>459</v>
      </c>
      <c r="AJ25" s="31" t="s">
        <v>271</v>
      </c>
      <c r="AK25" s="31" t="s">
        <v>460</v>
      </c>
      <c r="AL25" s="37">
        <v>182912</v>
      </c>
      <c r="AM25" s="31" t="b">
        <v>1</v>
      </c>
      <c r="AN25" s="71">
        <v>182912</v>
      </c>
      <c r="AO25" s="71">
        <f>テーブル24[[#This Row],[国庫補助基本額【上限100万円】]]-テーブル24[[#This Row],[内示用☑]]</f>
        <v>0</v>
      </c>
    </row>
    <row r="26" spans="1:41" ht="17.25" customHeight="1">
      <c r="A26" s="38">
        <v>25</v>
      </c>
      <c r="B26" s="31" t="s">
        <v>461</v>
      </c>
      <c r="C26" s="69" t="s">
        <v>462</v>
      </c>
      <c r="D26" s="31" t="s">
        <v>68</v>
      </c>
      <c r="E26" s="31" t="s">
        <v>69</v>
      </c>
      <c r="F26" s="31" t="s">
        <v>271</v>
      </c>
      <c r="G26" s="68" t="s">
        <v>288</v>
      </c>
      <c r="H26" s="31" t="s">
        <v>214</v>
      </c>
      <c r="I26" s="31" t="s">
        <v>271</v>
      </c>
      <c r="J26" s="31" t="s">
        <v>237</v>
      </c>
      <c r="K26" s="31" t="s">
        <v>271</v>
      </c>
      <c r="L26" s="31" t="s">
        <v>425</v>
      </c>
      <c r="M26" s="31" t="s">
        <v>271</v>
      </c>
      <c r="N26" s="31" t="s">
        <v>271</v>
      </c>
      <c r="O26" s="31" t="s">
        <v>271</v>
      </c>
      <c r="P26" s="31" t="s">
        <v>271</v>
      </c>
      <c r="Q26" s="31" t="s">
        <v>271</v>
      </c>
      <c r="R26" s="31" t="s">
        <v>271</v>
      </c>
      <c r="S26" s="31" t="s">
        <v>271</v>
      </c>
      <c r="T26" s="31" t="s">
        <v>271</v>
      </c>
      <c r="U26" s="31" t="s">
        <v>271</v>
      </c>
      <c r="V26" s="31" t="s">
        <v>426</v>
      </c>
      <c r="W26" s="31" t="s">
        <v>271</v>
      </c>
      <c r="X26" s="31" t="s">
        <v>288</v>
      </c>
      <c r="Y26" s="35" t="s">
        <v>201</v>
      </c>
      <c r="Z26" s="35" t="s">
        <v>220</v>
      </c>
      <c r="AA26" s="36" t="s">
        <v>212</v>
      </c>
      <c r="AB26" s="31" t="s">
        <v>463</v>
      </c>
      <c r="AC26" s="31" t="s">
        <v>464</v>
      </c>
      <c r="AD26" s="31" t="s">
        <v>271</v>
      </c>
      <c r="AE26" s="37">
        <v>2132900</v>
      </c>
      <c r="AF26" s="37">
        <v>1000000</v>
      </c>
      <c r="AG26" s="31" t="s">
        <v>365</v>
      </c>
      <c r="AH26" s="31" t="s">
        <v>465</v>
      </c>
      <c r="AI26" s="31" t="s">
        <v>466</v>
      </c>
      <c r="AJ26" s="31" t="s">
        <v>271</v>
      </c>
      <c r="AK26" s="31" t="s">
        <v>467</v>
      </c>
      <c r="AL26" s="37">
        <v>1000000</v>
      </c>
      <c r="AM26" s="31" t="b">
        <v>1</v>
      </c>
      <c r="AN26" s="71">
        <v>1000000</v>
      </c>
      <c r="AO26" s="71">
        <f>テーブル24[[#This Row],[国庫補助基本額【上限100万円】]]-テーブル24[[#This Row],[内示用☑]]</f>
        <v>0</v>
      </c>
    </row>
    <row r="27" spans="1:41" ht="17.25" customHeight="1">
      <c r="A27" s="30">
        <v>26</v>
      </c>
      <c r="B27" s="31" t="s">
        <v>468</v>
      </c>
      <c r="C27" s="69" t="s">
        <v>469</v>
      </c>
      <c r="D27" s="31" t="s">
        <v>68</v>
      </c>
      <c r="E27" s="31" t="s">
        <v>69</v>
      </c>
      <c r="F27" s="31" t="s">
        <v>271</v>
      </c>
      <c r="G27" s="68" t="s">
        <v>288</v>
      </c>
      <c r="H27" s="31" t="s">
        <v>214</v>
      </c>
      <c r="I27" s="31" t="s">
        <v>271</v>
      </c>
      <c r="J27" s="31" t="s">
        <v>238</v>
      </c>
      <c r="K27" s="31" t="s">
        <v>271</v>
      </c>
      <c r="L27" s="31" t="s">
        <v>425</v>
      </c>
      <c r="M27" s="31" t="s">
        <v>271</v>
      </c>
      <c r="N27" s="31" t="s">
        <v>271</v>
      </c>
      <c r="O27" s="31" t="s">
        <v>271</v>
      </c>
      <c r="P27" s="31" t="s">
        <v>271</v>
      </c>
      <c r="Q27" s="31" t="s">
        <v>271</v>
      </c>
      <c r="R27" s="31" t="s">
        <v>271</v>
      </c>
      <c r="S27" s="31" t="s">
        <v>271</v>
      </c>
      <c r="T27" s="31" t="s">
        <v>271</v>
      </c>
      <c r="U27" s="31" t="s">
        <v>271</v>
      </c>
      <c r="V27" s="31" t="s">
        <v>426</v>
      </c>
      <c r="W27" s="31" t="s">
        <v>271</v>
      </c>
      <c r="X27" s="31" t="s">
        <v>288</v>
      </c>
      <c r="Y27" s="35" t="s">
        <v>380</v>
      </c>
      <c r="Z27" s="35" t="s">
        <v>222</v>
      </c>
      <c r="AA27" s="36" t="s">
        <v>223</v>
      </c>
      <c r="AB27" s="31" t="s">
        <v>381</v>
      </c>
      <c r="AC27" s="31" t="s">
        <v>382</v>
      </c>
      <c r="AD27" s="31" t="s">
        <v>271</v>
      </c>
      <c r="AE27" s="37">
        <v>353088</v>
      </c>
      <c r="AF27" s="37">
        <v>353088</v>
      </c>
      <c r="AG27" s="31" t="s">
        <v>470</v>
      </c>
      <c r="AH27" s="31" t="s">
        <v>471</v>
      </c>
      <c r="AI27" s="31" t="s">
        <v>472</v>
      </c>
      <c r="AJ27" s="31" t="s">
        <v>271</v>
      </c>
      <c r="AK27" s="31" t="s">
        <v>473</v>
      </c>
      <c r="AL27" s="37">
        <v>353088</v>
      </c>
      <c r="AM27" s="31" t="b">
        <v>1</v>
      </c>
      <c r="AN27" s="71">
        <v>353088</v>
      </c>
      <c r="AO27" s="71">
        <f>テーブル24[[#This Row],[国庫補助基本額【上限100万円】]]-テーブル24[[#This Row],[内示用☑]]</f>
        <v>0</v>
      </c>
    </row>
    <row r="28" spans="1:41" ht="17.25" customHeight="1">
      <c r="A28" s="30">
        <v>27</v>
      </c>
      <c r="B28" s="31" t="s">
        <v>474</v>
      </c>
      <c r="C28" s="69" t="s">
        <v>475</v>
      </c>
      <c r="D28" s="31" t="s">
        <v>68</v>
      </c>
      <c r="E28" s="31" t="s">
        <v>69</v>
      </c>
      <c r="F28" s="31" t="s">
        <v>271</v>
      </c>
      <c r="G28" s="68" t="s">
        <v>288</v>
      </c>
      <c r="H28" s="31" t="s">
        <v>214</v>
      </c>
      <c r="I28" s="31" t="s">
        <v>271</v>
      </c>
      <c r="J28" s="31" t="s">
        <v>239</v>
      </c>
      <c r="K28" s="31" t="s">
        <v>271</v>
      </c>
      <c r="L28" s="31" t="s">
        <v>425</v>
      </c>
      <c r="M28" s="31" t="s">
        <v>271</v>
      </c>
      <c r="N28" s="31" t="s">
        <v>271</v>
      </c>
      <c r="O28" s="31" t="s">
        <v>271</v>
      </c>
      <c r="P28" s="31" t="s">
        <v>271</v>
      </c>
      <c r="Q28" s="31" t="s">
        <v>271</v>
      </c>
      <c r="R28" s="31" t="s">
        <v>271</v>
      </c>
      <c r="S28" s="31" t="s">
        <v>271</v>
      </c>
      <c r="T28" s="31" t="s">
        <v>271</v>
      </c>
      <c r="U28" s="31" t="s">
        <v>271</v>
      </c>
      <c r="V28" s="31" t="s">
        <v>426</v>
      </c>
      <c r="W28" s="31" t="s">
        <v>271</v>
      </c>
      <c r="X28" s="31" t="s">
        <v>288</v>
      </c>
      <c r="Y28" s="35" t="s">
        <v>224</v>
      </c>
      <c r="Z28" s="35" t="s">
        <v>225</v>
      </c>
      <c r="AA28" s="36" t="s">
        <v>226</v>
      </c>
      <c r="AB28" s="31" t="s">
        <v>393</v>
      </c>
      <c r="AC28" s="31" t="s">
        <v>394</v>
      </c>
      <c r="AD28" s="31" t="s">
        <v>271</v>
      </c>
      <c r="AE28" s="37">
        <v>1036280</v>
      </c>
      <c r="AF28" s="37">
        <v>1000000</v>
      </c>
      <c r="AG28" s="31" t="s">
        <v>476</v>
      </c>
      <c r="AH28" s="31" t="s">
        <v>477</v>
      </c>
      <c r="AI28" s="31" t="s">
        <v>478</v>
      </c>
      <c r="AJ28" s="31" t="s">
        <v>271</v>
      </c>
      <c r="AK28" s="31" t="s">
        <v>479</v>
      </c>
      <c r="AL28" s="37">
        <v>1000000</v>
      </c>
      <c r="AM28" s="31" t="b">
        <v>1</v>
      </c>
      <c r="AN28" s="71">
        <v>1000000</v>
      </c>
      <c r="AO28" s="71">
        <f>テーブル24[[#This Row],[国庫補助基本額【上限100万円】]]-テーブル24[[#This Row],[内示用☑]]</f>
        <v>0</v>
      </c>
    </row>
    <row r="29" spans="1:41" ht="17.25" customHeight="1">
      <c r="A29" s="30">
        <v>28</v>
      </c>
      <c r="B29" s="31" t="s">
        <v>480</v>
      </c>
      <c r="C29" s="69" t="s">
        <v>481</v>
      </c>
      <c r="D29" s="31" t="s">
        <v>68</v>
      </c>
      <c r="E29" s="31" t="s">
        <v>69</v>
      </c>
      <c r="F29" s="31" t="s">
        <v>271</v>
      </c>
      <c r="G29" s="68" t="s">
        <v>288</v>
      </c>
      <c r="H29" s="31" t="s">
        <v>214</v>
      </c>
      <c r="I29" s="31" t="s">
        <v>271</v>
      </c>
      <c r="J29" s="31" t="s">
        <v>240</v>
      </c>
      <c r="K29" s="31" t="s">
        <v>271</v>
      </c>
      <c r="L29" s="31" t="s">
        <v>425</v>
      </c>
      <c r="M29" s="31" t="s">
        <v>271</v>
      </c>
      <c r="N29" s="31" t="s">
        <v>271</v>
      </c>
      <c r="O29" s="31" t="s">
        <v>271</v>
      </c>
      <c r="P29" s="31" t="s">
        <v>271</v>
      </c>
      <c r="Q29" s="31" t="s">
        <v>271</v>
      </c>
      <c r="R29" s="31" t="s">
        <v>271</v>
      </c>
      <c r="S29" s="31" t="s">
        <v>271</v>
      </c>
      <c r="T29" s="31" t="s">
        <v>271</v>
      </c>
      <c r="U29" s="31" t="s">
        <v>271</v>
      </c>
      <c r="V29" s="31" t="s">
        <v>426</v>
      </c>
      <c r="W29" s="31" t="s">
        <v>271</v>
      </c>
      <c r="X29" s="31" t="s">
        <v>288</v>
      </c>
      <c r="Y29" s="35" t="s">
        <v>205</v>
      </c>
      <c r="Z29" s="35" t="s">
        <v>227</v>
      </c>
      <c r="AA29" s="36" t="s">
        <v>223</v>
      </c>
      <c r="AB29" s="31" t="s">
        <v>403</v>
      </c>
      <c r="AC29" s="31" t="s">
        <v>404</v>
      </c>
      <c r="AD29" s="31" t="s">
        <v>271</v>
      </c>
      <c r="AE29" s="37">
        <v>1415249</v>
      </c>
      <c r="AF29" s="37">
        <v>1000000</v>
      </c>
      <c r="AG29" s="31" t="s">
        <v>482</v>
      </c>
      <c r="AH29" s="31" t="s">
        <v>483</v>
      </c>
      <c r="AI29" s="31" t="s">
        <v>484</v>
      </c>
      <c r="AJ29" s="31" t="s">
        <v>271</v>
      </c>
      <c r="AK29" s="31" t="s">
        <v>485</v>
      </c>
      <c r="AL29" s="37">
        <v>1000000</v>
      </c>
      <c r="AM29" s="31" t="b">
        <v>1</v>
      </c>
      <c r="AN29" s="71">
        <v>1000000</v>
      </c>
      <c r="AO29" s="71">
        <f>テーブル24[[#This Row],[国庫補助基本額【上限100万円】]]-テーブル24[[#This Row],[内示用☑]]</f>
        <v>0</v>
      </c>
    </row>
    <row r="30" spans="1:41" ht="17.25" customHeight="1">
      <c r="A30" s="30">
        <v>29</v>
      </c>
      <c r="B30" s="31" t="s">
        <v>486</v>
      </c>
      <c r="C30" s="69" t="s">
        <v>487</v>
      </c>
      <c r="D30" s="31" t="s">
        <v>68</v>
      </c>
      <c r="E30" s="31" t="s">
        <v>69</v>
      </c>
      <c r="F30" s="31" t="s">
        <v>271</v>
      </c>
      <c r="G30" s="68" t="s">
        <v>288</v>
      </c>
      <c r="H30" s="31" t="s">
        <v>214</v>
      </c>
      <c r="I30" s="31" t="s">
        <v>271</v>
      </c>
      <c r="J30" s="31" t="s">
        <v>242</v>
      </c>
      <c r="K30" s="31" t="s">
        <v>271</v>
      </c>
      <c r="L30" s="31" t="s">
        <v>425</v>
      </c>
      <c r="M30" s="31" t="s">
        <v>271</v>
      </c>
      <c r="N30" s="31" t="s">
        <v>271</v>
      </c>
      <c r="O30" s="31" t="s">
        <v>271</v>
      </c>
      <c r="P30" s="31" t="s">
        <v>271</v>
      </c>
      <c r="Q30" s="31" t="s">
        <v>271</v>
      </c>
      <c r="R30" s="31" t="s">
        <v>271</v>
      </c>
      <c r="S30" s="31" t="s">
        <v>271</v>
      </c>
      <c r="T30" s="31" t="s">
        <v>271</v>
      </c>
      <c r="U30" s="31" t="s">
        <v>271</v>
      </c>
      <c r="V30" s="31" t="s">
        <v>426</v>
      </c>
      <c r="W30" s="31" t="s">
        <v>271</v>
      </c>
      <c r="X30" s="31" t="s">
        <v>288</v>
      </c>
      <c r="Y30" s="35" t="s">
        <v>228</v>
      </c>
      <c r="Z30" s="35" t="s">
        <v>229</v>
      </c>
      <c r="AA30" s="36" t="s">
        <v>488</v>
      </c>
      <c r="AB30" s="31" t="s">
        <v>413</v>
      </c>
      <c r="AC30" s="31" t="s">
        <v>414</v>
      </c>
      <c r="AD30" s="31" t="s">
        <v>271</v>
      </c>
      <c r="AE30" s="37">
        <v>666600</v>
      </c>
      <c r="AF30" s="37">
        <v>666600</v>
      </c>
      <c r="AG30" s="31" t="s">
        <v>489</v>
      </c>
      <c r="AH30" s="31" t="s">
        <v>490</v>
      </c>
      <c r="AI30" s="31" t="s">
        <v>491</v>
      </c>
      <c r="AJ30" s="31" t="s">
        <v>271</v>
      </c>
      <c r="AK30" s="31" t="s">
        <v>492</v>
      </c>
      <c r="AL30" s="37">
        <v>666600</v>
      </c>
      <c r="AM30" s="31" t="b">
        <v>1</v>
      </c>
      <c r="AN30" s="71">
        <v>666600</v>
      </c>
      <c r="AO30" s="71">
        <f>テーブル24[[#This Row],[国庫補助基本額【上限100万円】]]-テーブル24[[#This Row],[内示用☑]]</f>
        <v>0</v>
      </c>
    </row>
    <row r="31" spans="1:41" ht="17.25" customHeight="1">
      <c r="A31" s="30">
        <v>30</v>
      </c>
      <c r="B31" s="31" t="s">
        <v>493</v>
      </c>
      <c r="C31" s="69" t="s">
        <v>494</v>
      </c>
      <c r="D31" s="31" t="s">
        <v>68</v>
      </c>
      <c r="E31" s="31" t="s">
        <v>69</v>
      </c>
      <c r="F31" s="31" t="s">
        <v>271</v>
      </c>
      <c r="G31" s="68" t="s">
        <v>288</v>
      </c>
      <c r="H31" s="31" t="s">
        <v>185</v>
      </c>
      <c r="I31" s="31" t="s">
        <v>271</v>
      </c>
      <c r="J31" s="31" t="s">
        <v>243</v>
      </c>
      <c r="K31" s="31" t="s">
        <v>271</v>
      </c>
      <c r="L31" s="31" t="s">
        <v>495</v>
      </c>
      <c r="M31" s="31" t="s">
        <v>271</v>
      </c>
      <c r="N31" s="31" t="s">
        <v>271</v>
      </c>
      <c r="O31" s="31" t="s">
        <v>271</v>
      </c>
      <c r="P31" s="31" t="s">
        <v>271</v>
      </c>
      <c r="Q31" s="31" t="s">
        <v>271</v>
      </c>
      <c r="R31" s="31" t="s">
        <v>271</v>
      </c>
      <c r="S31" s="31" t="s">
        <v>271</v>
      </c>
      <c r="T31" s="31" t="s">
        <v>271</v>
      </c>
      <c r="U31" s="31" t="s">
        <v>271</v>
      </c>
      <c r="V31" s="31" t="s">
        <v>295</v>
      </c>
      <c r="W31" s="31" t="s">
        <v>271</v>
      </c>
      <c r="X31" s="31" t="s">
        <v>288</v>
      </c>
      <c r="Y31" s="35" t="s">
        <v>205</v>
      </c>
      <c r="Z31" s="35" t="s">
        <v>231</v>
      </c>
      <c r="AA31" s="36" t="s">
        <v>488</v>
      </c>
      <c r="AB31" s="31" t="s">
        <v>395</v>
      </c>
      <c r="AC31" s="31" t="s">
        <v>396</v>
      </c>
      <c r="AD31" s="31" t="s">
        <v>271</v>
      </c>
      <c r="AE31" s="37">
        <v>1696951</v>
      </c>
      <c r="AF31" s="37">
        <v>1000000</v>
      </c>
      <c r="AG31" s="31" t="s">
        <v>496</v>
      </c>
      <c r="AH31" s="31" t="s">
        <v>497</v>
      </c>
      <c r="AI31" s="31" t="s">
        <v>498</v>
      </c>
      <c r="AJ31" s="31" t="s">
        <v>271</v>
      </c>
      <c r="AK31" s="31" t="s">
        <v>499</v>
      </c>
      <c r="AL31" s="37">
        <v>1000000</v>
      </c>
      <c r="AM31" s="31" t="b">
        <v>1</v>
      </c>
      <c r="AN31" s="71">
        <v>1000000</v>
      </c>
      <c r="AO31" s="71">
        <f>テーブル24[[#This Row],[国庫補助基本額【上限100万円】]]-テーブル24[[#This Row],[内示用☑]]</f>
        <v>0</v>
      </c>
    </row>
    <row r="32" spans="1:41" ht="17.25" customHeight="1">
      <c r="A32" s="30">
        <v>31</v>
      </c>
      <c r="B32" s="31" t="s">
        <v>500</v>
      </c>
      <c r="C32" s="69" t="s">
        <v>501</v>
      </c>
      <c r="D32" s="31" t="s">
        <v>68</v>
      </c>
      <c r="E32" s="31" t="s">
        <v>69</v>
      </c>
      <c r="F32" s="31" t="s">
        <v>271</v>
      </c>
      <c r="G32" s="68" t="s">
        <v>288</v>
      </c>
      <c r="H32" s="31" t="s">
        <v>244</v>
      </c>
      <c r="I32" s="31" t="s">
        <v>271</v>
      </c>
      <c r="J32" s="31" t="s">
        <v>245</v>
      </c>
      <c r="K32" s="31" t="s">
        <v>271</v>
      </c>
      <c r="L32" s="31" t="s">
        <v>502</v>
      </c>
      <c r="M32" s="31" t="s">
        <v>271</v>
      </c>
      <c r="N32" s="31" t="s">
        <v>271</v>
      </c>
      <c r="O32" s="31" t="s">
        <v>271</v>
      </c>
      <c r="P32" s="31" t="s">
        <v>271</v>
      </c>
      <c r="Q32" s="31" t="s">
        <v>271</v>
      </c>
      <c r="R32" s="31" t="s">
        <v>271</v>
      </c>
      <c r="S32" s="31" t="s">
        <v>271</v>
      </c>
      <c r="T32" s="31" t="s">
        <v>271</v>
      </c>
      <c r="U32" s="31" t="s">
        <v>271</v>
      </c>
      <c r="V32" s="31" t="s">
        <v>503</v>
      </c>
      <c r="W32" s="31" t="s">
        <v>271</v>
      </c>
      <c r="X32" s="31" t="s">
        <v>288</v>
      </c>
      <c r="Y32" s="35" t="s">
        <v>209</v>
      </c>
      <c r="Z32" s="35" t="s">
        <v>232</v>
      </c>
      <c r="AA32" s="36" t="s">
        <v>223</v>
      </c>
      <c r="AB32" s="31" t="s">
        <v>433</v>
      </c>
      <c r="AC32" s="31" t="s">
        <v>434</v>
      </c>
      <c r="AD32" s="31" t="s">
        <v>271</v>
      </c>
      <c r="AE32" s="37">
        <v>1033907</v>
      </c>
      <c r="AF32" s="37">
        <v>1000000</v>
      </c>
      <c r="AG32" s="31" t="s">
        <v>504</v>
      </c>
      <c r="AH32" s="31" t="s">
        <v>505</v>
      </c>
      <c r="AI32" s="31" t="s">
        <v>506</v>
      </c>
      <c r="AJ32" s="31" t="s">
        <v>271</v>
      </c>
      <c r="AK32" s="31" t="s">
        <v>507</v>
      </c>
      <c r="AL32" s="37">
        <v>1000000</v>
      </c>
      <c r="AM32" s="31" t="b">
        <v>1</v>
      </c>
      <c r="AN32" s="71">
        <v>1000000</v>
      </c>
      <c r="AO32" s="71">
        <f>テーブル24[[#This Row],[国庫補助基本額【上限100万円】]]-テーブル24[[#This Row],[内示用☑]]</f>
        <v>0</v>
      </c>
    </row>
    <row r="33" spans="1:41" ht="17.25" customHeight="1">
      <c r="A33" s="30">
        <v>32</v>
      </c>
      <c r="B33" s="31" t="s">
        <v>508</v>
      </c>
      <c r="C33" s="69" t="s">
        <v>509</v>
      </c>
      <c r="D33" s="31" t="s">
        <v>68</v>
      </c>
      <c r="E33" s="31" t="s">
        <v>69</v>
      </c>
      <c r="F33" s="31" t="s">
        <v>271</v>
      </c>
      <c r="G33" s="68" t="s">
        <v>288</v>
      </c>
      <c r="H33" s="31" t="s">
        <v>247</v>
      </c>
      <c r="I33" s="31" t="s">
        <v>271</v>
      </c>
      <c r="J33" s="31" t="s">
        <v>248</v>
      </c>
      <c r="K33" s="31" t="s">
        <v>271</v>
      </c>
      <c r="L33" s="31" t="s">
        <v>510</v>
      </c>
      <c r="M33" s="31" t="s">
        <v>271</v>
      </c>
      <c r="N33" s="31" t="s">
        <v>271</v>
      </c>
      <c r="O33" s="31" t="s">
        <v>271</v>
      </c>
      <c r="P33" s="31" t="s">
        <v>271</v>
      </c>
      <c r="Q33" s="31" t="s">
        <v>271</v>
      </c>
      <c r="R33" s="31" t="s">
        <v>271</v>
      </c>
      <c r="S33" s="31" t="s">
        <v>271</v>
      </c>
      <c r="T33" s="31" t="s">
        <v>271</v>
      </c>
      <c r="U33" s="31" t="s">
        <v>271</v>
      </c>
      <c r="V33" s="31" t="s">
        <v>511</v>
      </c>
      <c r="W33" s="31" t="s">
        <v>271</v>
      </c>
      <c r="X33" s="31" t="s">
        <v>288</v>
      </c>
      <c r="Y33" s="35" t="s">
        <v>233</v>
      </c>
      <c r="Z33" s="35" t="s">
        <v>234</v>
      </c>
      <c r="AA33" s="36" t="s">
        <v>223</v>
      </c>
      <c r="AB33" s="31" t="s">
        <v>444</v>
      </c>
      <c r="AC33" s="31" t="s">
        <v>445</v>
      </c>
      <c r="AD33" s="31" t="s">
        <v>271</v>
      </c>
      <c r="AE33" s="37">
        <v>1031360</v>
      </c>
      <c r="AF33" s="37">
        <v>1000000</v>
      </c>
      <c r="AG33" s="31" t="s">
        <v>512</v>
      </c>
      <c r="AH33" s="31" t="s">
        <v>513</v>
      </c>
      <c r="AI33" s="31" t="s">
        <v>514</v>
      </c>
      <c r="AJ33" s="31" t="s">
        <v>271</v>
      </c>
      <c r="AK33" s="31" t="s">
        <v>515</v>
      </c>
      <c r="AL33" s="37">
        <v>1000000</v>
      </c>
      <c r="AM33" s="31" t="b">
        <v>1</v>
      </c>
      <c r="AN33" s="71">
        <v>1000000</v>
      </c>
      <c r="AO33" s="71">
        <f>テーブル24[[#This Row],[国庫補助基本額【上限100万円】]]-テーブル24[[#This Row],[内示用☑]]</f>
        <v>0</v>
      </c>
    </row>
    <row r="34" spans="1:41" ht="17.25" customHeight="1">
      <c r="A34" s="30">
        <v>33</v>
      </c>
      <c r="B34" s="31" t="s">
        <v>271</v>
      </c>
      <c r="C34" s="69" t="s">
        <v>271</v>
      </c>
      <c r="D34" s="31" t="s">
        <v>271</v>
      </c>
      <c r="E34" s="31" t="s">
        <v>271</v>
      </c>
      <c r="F34" s="31" t="s">
        <v>271</v>
      </c>
      <c r="G34" s="68" t="s">
        <v>271</v>
      </c>
      <c r="H34" s="31" t="s">
        <v>199</v>
      </c>
      <c r="I34" s="31" t="s">
        <v>271</v>
      </c>
      <c r="J34" s="31" t="s">
        <v>516</v>
      </c>
      <c r="K34" s="31" t="s">
        <v>271</v>
      </c>
      <c r="L34" s="31" t="s">
        <v>517</v>
      </c>
      <c r="M34" s="31" t="s">
        <v>271</v>
      </c>
      <c r="N34" s="31" t="s">
        <v>271</v>
      </c>
      <c r="O34" s="31" t="s">
        <v>271</v>
      </c>
      <c r="P34" s="31" t="s">
        <v>271</v>
      </c>
      <c r="Q34" s="31" t="s">
        <v>271</v>
      </c>
      <c r="R34" s="31" t="s">
        <v>271</v>
      </c>
      <c r="S34" s="31" t="s">
        <v>271</v>
      </c>
      <c r="T34" s="31" t="s">
        <v>271</v>
      </c>
      <c r="U34" s="31" t="s">
        <v>271</v>
      </c>
      <c r="V34" s="31" t="s">
        <v>357</v>
      </c>
      <c r="W34" s="31" t="s">
        <v>271</v>
      </c>
      <c r="X34" s="31" t="s">
        <v>288</v>
      </c>
      <c r="Y34" s="35" t="s">
        <v>205</v>
      </c>
      <c r="Z34" s="35" t="s">
        <v>235</v>
      </c>
      <c r="AA34" s="36" t="s">
        <v>223</v>
      </c>
      <c r="AB34" s="31" t="s">
        <v>455</v>
      </c>
      <c r="AC34" s="31" t="s">
        <v>456</v>
      </c>
      <c r="AD34" s="31" t="s">
        <v>271</v>
      </c>
      <c r="AE34" s="37">
        <v>947217</v>
      </c>
      <c r="AF34" s="37">
        <v>947217</v>
      </c>
      <c r="AG34" s="31" t="s">
        <v>518</v>
      </c>
      <c r="AH34" s="31" t="s">
        <v>519</v>
      </c>
      <c r="AI34" s="31" t="s">
        <v>520</v>
      </c>
      <c r="AJ34" s="31" t="s">
        <v>271</v>
      </c>
      <c r="AK34" s="31" t="s">
        <v>521</v>
      </c>
      <c r="AL34" s="37">
        <v>947217</v>
      </c>
      <c r="AM34" s="31" t="b">
        <v>1</v>
      </c>
      <c r="AN34" s="71">
        <v>882217</v>
      </c>
      <c r="AO34" s="71">
        <f>テーブル24[[#This Row],[国庫補助基本額【上限100万円】]]-テーブル24[[#This Row],[内示用☑]]</f>
        <v>65000</v>
      </c>
    </row>
    <row r="35" spans="1:41" ht="17.25" customHeight="1">
      <c r="A35" s="30">
        <v>34</v>
      </c>
      <c r="B35" s="31" t="s">
        <v>271</v>
      </c>
      <c r="C35" s="69" t="s">
        <v>271</v>
      </c>
      <c r="D35" s="31" t="s">
        <v>271</v>
      </c>
      <c r="E35" s="31" t="s">
        <v>271</v>
      </c>
      <c r="F35" s="31" t="s">
        <v>271</v>
      </c>
      <c r="G35" s="68" t="s">
        <v>271</v>
      </c>
      <c r="H35" s="31" t="s">
        <v>199</v>
      </c>
      <c r="I35" s="31" t="s">
        <v>271</v>
      </c>
      <c r="J35" s="31" t="s">
        <v>522</v>
      </c>
      <c r="K35" s="31" t="s">
        <v>271</v>
      </c>
      <c r="L35" s="31" t="s">
        <v>517</v>
      </c>
      <c r="M35" s="31" t="s">
        <v>271</v>
      </c>
      <c r="N35" s="31" t="s">
        <v>271</v>
      </c>
      <c r="O35" s="31" t="s">
        <v>271</v>
      </c>
      <c r="P35" s="31" t="s">
        <v>271</v>
      </c>
      <c r="Q35" s="31" t="s">
        <v>271</v>
      </c>
      <c r="R35" s="31" t="s">
        <v>271</v>
      </c>
      <c r="S35" s="31" t="s">
        <v>271</v>
      </c>
      <c r="T35" s="31" t="s">
        <v>271</v>
      </c>
      <c r="U35" s="31" t="s">
        <v>271</v>
      </c>
      <c r="V35" s="31" t="s">
        <v>357</v>
      </c>
      <c r="W35" s="31" t="s">
        <v>271</v>
      </c>
      <c r="X35" s="31" t="s">
        <v>288</v>
      </c>
      <c r="Y35" s="35" t="s">
        <v>214</v>
      </c>
      <c r="Z35" s="35" t="s">
        <v>237</v>
      </c>
      <c r="AA35" s="36" t="s">
        <v>226</v>
      </c>
      <c r="AB35" s="31" t="s">
        <v>425</v>
      </c>
      <c r="AC35" s="31" t="s">
        <v>426</v>
      </c>
      <c r="AD35" s="31" t="s">
        <v>271</v>
      </c>
      <c r="AE35" s="37">
        <v>330640</v>
      </c>
      <c r="AF35" s="37">
        <v>330640</v>
      </c>
      <c r="AG35" s="31" t="s">
        <v>523</v>
      </c>
      <c r="AH35" s="31" t="s">
        <v>524</v>
      </c>
      <c r="AI35" s="31" t="s">
        <v>525</v>
      </c>
      <c r="AJ35" s="31" t="s">
        <v>271</v>
      </c>
      <c r="AK35" s="31" t="s">
        <v>526</v>
      </c>
      <c r="AL35" s="37">
        <v>330640</v>
      </c>
      <c r="AM35" s="31" t="b">
        <v>1</v>
      </c>
      <c r="AN35" s="71">
        <v>330640</v>
      </c>
      <c r="AO35" s="71">
        <f>テーブル24[[#This Row],[国庫補助基本額【上限100万円】]]-テーブル24[[#This Row],[内示用☑]]</f>
        <v>0</v>
      </c>
    </row>
    <row r="36" spans="1:41" ht="17.25" customHeight="1">
      <c r="A36" s="30">
        <v>35</v>
      </c>
      <c r="B36" s="31" t="s">
        <v>271</v>
      </c>
      <c r="C36" s="69" t="s">
        <v>271</v>
      </c>
      <c r="D36" s="31" t="s">
        <v>271</v>
      </c>
      <c r="E36" s="31" t="s">
        <v>271</v>
      </c>
      <c r="F36" s="31" t="s">
        <v>271</v>
      </c>
      <c r="G36" s="68" t="s">
        <v>271</v>
      </c>
      <c r="H36" s="31" t="s">
        <v>199</v>
      </c>
      <c r="I36" s="31" t="s">
        <v>271</v>
      </c>
      <c r="J36" s="31" t="s">
        <v>527</v>
      </c>
      <c r="K36" s="31" t="s">
        <v>271</v>
      </c>
      <c r="L36" s="31" t="s">
        <v>517</v>
      </c>
      <c r="M36" s="31" t="s">
        <v>271</v>
      </c>
      <c r="N36" s="31" t="s">
        <v>271</v>
      </c>
      <c r="O36" s="31" t="s">
        <v>271</v>
      </c>
      <c r="P36" s="31" t="s">
        <v>271</v>
      </c>
      <c r="Q36" s="31" t="s">
        <v>271</v>
      </c>
      <c r="R36" s="31" t="s">
        <v>271</v>
      </c>
      <c r="S36" s="31" t="s">
        <v>271</v>
      </c>
      <c r="T36" s="31" t="s">
        <v>271</v>
      </c>
      <c r="U36" s="31" t="s">
        <v>271</v>
      </c>
      <c r="V36" s="31" t="s">
        <v>357</v>
      </c>
      <c r="W36" s="31" t="s">
        <v>271</v>
      </c>
      <c r="X36" s="31" t="s">
        <v>288</v>
      </c>
      <c r="Y36" s="35" t="s">
        <v>214</v>
      </c>
      <c r="Z36" s="35" t="s">
        <v>238</v>
      </c>
      <c r="AA36" s="36" t="s">
        <v>226</v>
      </c>
      <c r="AB36" s="31" t="s">
        <v>425</v>
      </c>
      <c r="AC36" s="31" t="s">
        <v>426</v>
      </c>
      <c r="AD36" s="31" t="s">
        <v>271</v>
      </c>
      <c r="AE36" s="37">
        <v>233080</v>
      </c>
      <c r="AF36" s="37">
        <v>233080</v>
      </c>
      <c r="AG36" s="31" t="s">
        <v>528</v>
      </c>
      <c r="AH36" s="31" t="s">
        <v>529</v>
      </c>
      <c r="AI36" s="31" t="s">
        <v>530</v>
      </c>
      <c r="AJ36" s="31" t="s">
        <v>271</v>
      </c>
      <c r="AK36" s="31" t="s">
        <v>531</v>
      </c>
      <c r="AL36" s="37">
        <v>233080</v>
      </c>
      <c r="AM36" s="31" t="b">
        <v>1</v>
      </c>
      <c r="AN36" s="71">
        <v>233080</v>
      </c>
      <c r="AO36" s="71">
        <f>テーブル24[[#This Row],[国庫補助基本額【上限100万円】]]-テーブル24[[#This Row],[内示用☑]]</f>
        <v>0</v>
      </c>
    </row>
    <row r="37" spans="1:41" ht="17.25" customHeight="1">
      <c r="A37" s="30">
        <v>36</v>
      </c>
      <c r="B37" s="31" t="s">
        <v>271</v>
      </c>
      <c r="C37" s="69" t="s">
        <v>271</v>
      </c>
      <c r="D37" s="31" t="s">
        <v>271</v>
      </c>
      <c r="E37" s="31" t="s">
        <v>271</v>
      </c>
      <c r="F37" s="31" t="s">
        <v>271</v>
      </c>
      <c r="G37" s="68" t="s">
        <v>271</v>
      </c>
      <c r="H37" s="31" t="s">
        <v>199</v>
      </c>
      <c r="I37" s="31" t="s">
        <v>271</v>
      </c>
      <c r="J37" s="31" t="s">
        <v>532</v>
      </c>
      <c r="K37" s="31" t="s">
        <v>271</v>
      </c>
      <c r="L37" s="31" t="s">
        <v>517</v>
      </c>
      <c r="M37" s="31" t="s">
        <v>271</v>
      </c>
      <c r="N37" s="31" t="s">
        <v>271</v>
      </c>
      <c r="O37" s="31" t="s">
        <v>271</v>
      </c>
      <c r="P37" s="31" t="s">
        <v>271</v>
      </c>
      <c r="Q37" s="31" t="s">
        <v>271</v>
      </c>
      <c r="R37" s="31" t="s">
        <v>271</v>
      </c>
      <c r="S37" s="31" t="s">
        <v>271</v>
      </c>
      <c r="T37" s="31" t="s">
        <v>271</v>
      </c>
      <c r="U37" s="31" t="s">
        <v>271</v>
      </c>
      <c r="V37" s="31" t="s">
        <v>357</v>
      </c>
      <c r="W37" s="31" t="s">
        <v>271</v>
      </c>
      <c r="X37" s="31" t="s">
        <v>288</v>
      </c>
      <c r="Y37" s="35" t="s">
        <v>214</v>
      </c>
      <c r="Z37" s="35" t="s">
        <v>239</v>
      </c>
      <c r="AA37" s="36" t="s">
        <v>226</v>
      </c>
      <c r="AB37" s="31" t="s">
        <v>425</v>
      </c>
      <c r="AC37" s="31" t="s">
        <v>426</v>
      </c>
      <c r="AD37" s="31" t="s">
        <v>271</v>
      </c>
      <c r="AE37" s="37">
        <v>281860</v>
      </c>
      <c r="AF37" s="37">
        <v>281860</v>
      </c>
      <c r="AG37" s="31" t="s">
        <v>533</v>
      </c>
      <c r="AH37" s="31" t="s">
        <v>534</v>
      </c>
      <c r="AI37" s="31" t="s">
        <v>535</v>
      </c>
      <c r="AJ37" s="31" t="s">
        <v>271</v>
      </c>
      <c r="AK37" s="31" t="s">
        <v>536</v>
      </c>
      <c r="AL37" s="37">
        <v>281860</v>
      </c>
      <c r="AM37" s="31" t="b">
        <v>1</v>
      </c>
      <c r="AN37" s="71">
        <v>281860</v>
      </c>
      <c r="AO37" s="71">
        <f>テーブル24[[#This Row],[国庫補助基本額【上限100万円】]]-テーブル24[[#This Row],[内示用☑]]</f>
        <v>0</v>
      </c>
    </row>
    <row r="38" spans="1:41" ht="17.25" customHeight="1">
      <c r="A38" s="30">
        <v>37</v>
      </c>
      <c r="B38" s="31" t="s">
        <v>271</v>
      </c>
      <c r="C38" s="69" t="s">
        <v>271</v>
      </c>
      <c r="D38" s="31" t="s">
        <v>271</v>
      </c>
      <c r="E38" s="31" t="s">
        <v>271</v>
      </c>
      <c r="F38" s="31" t="s">
        <v>271</v>
      </c>
      <c r="G38" s="68" t="s">
        <v>271</v>
      </c>
      <c r="H38" s="31" t="s">
        <v>199</v>
      </c>
      <c r="I38" s="31" t="s">
        <v>271</v>
      </c>
      <c r="J38" s="31" t="s">
        <v>537</v>
      </c>
      <c r="K38" s="31" t="s">
        <v>271</v>
      </c>
      <c r="L38" s="31" t="s">
        <v>517</v>
      </c>
      <c r="M38" s="31" t="s">
        <v>271</v>
      </c>
      <c r="N38" s="31" t="s">
        <v>271</v>
      </c>
      <c r="O38" s="31" t="s">
        <v>271</v>
      </c>
      <c r="P38" s="31" t="s">
        <v>271</v>
      </c>
      <c r="Q38" s="31" t="s">
        <v>271</v>
      </c>
      <c r="R38" s="31" t="s">
        <v>271</v>
      </c>
      <c r="S38" s="31" t="s">
        <v>271</v>
      </c>
      <c r="T38" s="31" t="s">
        <v>271</v>
      </c>
      <c r="U38" s="31" t="s">
        <v>271</v>
      </c>
      <c r="V38" s="31" t="s">
        <v>357</v>
      </c>
      <c r="W38" s="31" t="s">
        <v>271</v>
      </c>
      <c r="X38" s="31" t="s">
        <v>288</v>
      </c>
      <c r="Y38" s="35" t="s">
        <v>214</v>
      </c>
      <c r="Z38" s="35" t="s">
        <v>240</v>
      </c>
      <c r="AA38" s="36" t="s">
        <v>538</v>
      </c>
      <c r="AB38" s="31" t="s">
        <v>425</v>
      </c>
      <c r="AC38" s="31" t="s">
        <v>426</v>
      </c>
      <c r="AD38" s="31" t="s">
        <v>271</v>
      </c>
      <c r="AE38" s="37">
        <v>184300</v>
      </c>
      <c r="AF38" s="37">
        <v>184300</v>
      </c>
      <c r="AG38" s="31" t="s">
        <v>539</v>
      </c>
      <c r="AH38" s="31" t="s">
        <v>540</v>
      </c>
      <c r="AI38" s="31" t="s">
        <v>541</v>
      </c>
      <c r="AJ38" s="31" t="s">
        <v>271</v>
      </c>
      <c r="AK38" s="31" t="s">
        <v>542</v>
      </c>
      <c r="AL38" s="37">
        <v>184300</v>
      </c>
      <c r="AM38" s="31" t="b">
        <v>1</v>
      </c>
      <c r="AN38" s="71">
        <v>184300</v>
      </c>
      <c r="AO38" s="71">
        <f>テーブル24[[#This Row],[国庫補助基本額【上限100万円】]]-テーブル24[[#This Row],[内示用☑]]</f>
        <v>0</v>
      </c>
    </row>
    <row r="39" spans="1:41" ht="17.25" customHeight="1">
      <c r="A39" s="30">
        <v>38</v>
      </c>
      <c r="B39" s="31" t="s">
        <v>271</v>
      </c>
      <c r="C39" s="69" t="s">
        <v>271</v>
      </c>
      <c r="D39" s="31" t="s">
        <v>271</v>
      </c>
      <c r="E39" s="31" t="s">
        <v>271</v>
      </c>
      <c r="F39" s="31" t="s">
        <v>271</v>
      </c>
      <c r="G39" s="68" t="s">
        <v>271</v>
      </c>
      <c r="H39" s="31" t="s">
        <v>199</v>
      </c>
      <c r="I39" s="31" t="s">
        <v>271</v>
      </c>
      <c r="J39" s="31" t="s">
        <v>543</v>
      </c>
      <c r="K39" s="31" t="s">
        <v>271</v>
      </c>
      <c r="L39" s="31" t="s">
        <v>517</v>
      </c>
      <c r="M39" s="31" t="s">
        <v>271</v>
      </c>
      <c r="N39" s="31" t="s">
        <v>271</v>
      </c>
      <c r="O39" s="31" t="s">
        <v>271</v>
      </c>
      <c r="P39" s="31" t="s">
        <v>271</v>
      </c>
      <c r="Q39" s="31" t="s">
        <v>271</v>
      </c>
      <c r="R39" s="31" t="s">
        <v>271</v>
      </c>
      <c r="S39" s="31" t="s">
        <v>271</v>
      </c>
      <c r="T39" s="31" t="s">
        <v>271</v>
      </c>
      <c r="U39" s="31" t="s">
        <v>271</v>
      </c>
      <c r="V39" s="31" t="s">
        <v>357</v>
      </c>
      <c r="W39" s="31" t="s">
        <v>271</v>
      </c>
      <c r="X39" s="31" t="s">
        <v>288</v>
      </c>
      <c r="Y39" s="35" t="s">
        <v>214</v>
      </c>
      <c r="Z39" s="35" t="s">
        <v>242</v>
      </c>
      <c r="AA39" s="36" t="s">
        <v>488</v>
      </c>
      <c r="AB39" s="31" t="s">
        <v>425</v>
      </c>
      <c r="AC39" s="31" t="s">
        <v>426</v>
      </c>
      <c r="AD39" s="31" t="s">
        <v>271</v>
      </c>
      <c r="AE39" s="37">
        <v>37960</v>
      </c>
      <c r="AF39" s="37">
        <v>37960</v>
      </c>
      <c r="AG39" s="31" t="s">
        <v>544</v>
      </c>
      <c r="AH39" s="31" t="s">
        <v>545</v>
      </c>
      <c r="AI39" s="31" t="s">
        <v>546</v>
      </c>
      <c r="AJ39" s="31" t="s">
        <v>271</v>
      </c>
      <c r="AK39" s="31" t="s">
        <v>547</v>
      </c>
      <c r="AL39" s="37">
        <v>37960</v>
      </c>
      <c r="AM39" s="31" t="b">
        <v>1</v>
      </c>
      <c r="AN39" s="71">
        <v>37960</v>
      </c>
      <c r="AO39" s="71">
        <f>テーブル24[[#This Row],[国庫補助基本額【上限100万円】]]-テーブル24[[#This Row],[内示用☑]]</f>
        <v>0</v>
      </c>
    </row>
    <row r="40" spans="1:41" ht="17.25" customHeight="1">
      <c r="A40" s="30">
        <v>39</v>
      </c>
      <c r="B40" s="31" t="s">
        <v>271</v>
      </c>
      <c r="C40" s="69" t="s">
        <v>271</v>
      </c>
      <c r="D40" s="31" t="s">
        <v>271</v>
      </c>
      <c r="E40" s="31" t="s">
        <v>271</v>
      </c>
      <c r="F40" s="31" t="s">
        <v>271</v>
      </c>
      <c r="G40" s="68" t="s">
        <v>271</v>
      </c>
      <c r="H40" s="31" t="s">
        <v>199</v>
      </c>
      <c r="I40" s="31" t="s">
        <v>271</v>
      </c>
      <c r="J40" s="31" t="s">
        <v>548</v>
      </c>
      <c r="K40" s="31" t="s">
        <v>271</v>
      </c>
      <c r="L40" s="31" t="s">
        <v>517</v>
      </c>
      <c r="M40" s="31" t="s">
        <v>271</v>
      </c>
      <c r="N40" s="31" t="s">
        <v>271</v>
      </c>
      <c r="O40" s="31" t="s">
        <v>271</v>
      </c>
      <c r="P40" s="31" t="s">
        <v>271</v>
      </c>
      <c r="Q40" s="31" t="s">
        <v>271</v>
      </c>
      <c r="R40" s="31" t="s">
        <v>271</v>
      </c>
      <c r="S40" s="31" t="s">
        <v>271</v>
      </c>
      <c r="T40" s="31" t="s">
        <v>271</v>
      </c>
      <c r="U40" s="31" t="s">
        <v>271</v>
      </c>
      <c r="V40" s="31" t="s">
        <v>357</v>
      </c>
      <c r="W40" s="31" t="s">
        <v>271</v>
      </c>
      <c r="X40" s="31" t="s">
        <v>288</v>
      </c>
      <c r="Y40" s="35" t="s">
        <v>185</v>
      </c>
      <c r="Z40" s="35" t="s">
        <v>243</v>
      </c>
      <c r="AA40" s="36" t="s">
        <v>488</v>
      </c>
      <c r="AB40" s="31" t="s">
        <v>495</v>
      </c>
      <c r="AC40" s="31" t="s">
        <v>295</v>
      </c>
      <c r="AD40" s="31" t="s">
        <v>271</v>
      </c>
      <c r="AE40" s="37">
        <v>611380</v>
      </c>
      <c r="AF40" s="37">
        <v>611380</v>
      </c>
      <c r="AG40" s="31" t="s">
        <v>549</v>
      </c>
      <c r="AH40" s="31" t="s">
        <v>550</v>
      </c>
      <c r="AI40" s="31" t="s">
        <v>551</v>
      </c>
      <c r="AJ40" s="31" t="s">
        <v>271</v>
      </c>
      <c r="AK40" s="31" t="s">
        <v>552</v>
      </c>
      <c r="AL40" s="37">
        <v>611380</v>
      </c>
      <c r="AM40" s="31" t="b">
        <v>1</v>
      </c>
      <c r="AN40" s="71">
        <v>611380</v>
      </c>
      <c r="AO40" s="71">
        <f>テーブル24[[#This Row],[国庫補助基本額【上限100万円】]]-テーブル24[[#This Row],[内示用☑]]</f>
        <v>0</v>
      </c>
    </row>
    <row r="41" spans="1:41" ht="17.25" customHeight="1">
      <c r="A41" s="30">
        <v>40</v>
      </c>
      <c r="B41" s="31" t="s">
        <v>271</v>
      </c>
      <c r="C41" s="69" t="s">
        <v>271</v>
      </c>
      <c r="D41" s="31" t="s">
        <v>271</v>
      </c>
      <c r="E41" s="31" t="s">
        <v>271</v>
      </c>
      <c r="F41" s="31" t="s">
        <v>271</v>
      </c>
      <c r="G41" s="68" t="s">
        <v>271</v>
      </c>
      <c r="H41" s="31" t="s">
        <v>199</v>
      </c>
      <c r="I41" s="31" t="s">
        <v>271</v>
      </c>
      <c r="J41" s="31" t="s">
        <v>553</v>
      </c>
      <c r="K41" s="31" t="s">
        <v>271</v>
      </c>
      <c r="L41" s="31" t="s">
        <v>517</v>
      </c>
      <c r="M41" s="31" t="s">
        <v>271</v>
      </c>
      <c r="N41" s="31" t="s">
        <v>271</v>
      </c>
      <c r="O41" s="31" t="s">
        <v>271</v>
      </c>
      <c r="P41" s="31" t="s">
        <v>271</v>
      </c>
      <c r="Q41" s="31" t="s">
        <v>271</v>
      </c>
      <c r="R41" s="31" t="s">
        <v>271</v>
      </c>
      <c r="S41" s="31" t="s">
        <v>271</v>
      </c>
      <c r="T41" s="31" t="s">
        <v>271</v>
      </c>
      <c r="U41" s="31" t="s">
        <v>271</v>
      </c>
      <c r="V41" s="31" t="s">
        <v>357</v>
      </c>
      <c r="W41" s="31" t="s">
        <v>271</v>
      </c>
      <c r="X41" s="31" t="s">
        <v>288</v>
      </c>
      <c r="Y41" s="35" t="s">
        <v>244</v>
      </c>
      <c r="Z41" s="35" t="s">
        <v>245</v>
      </c>
      <c r="AA41" s="36" t="s">
        <v>246</v>
      </c>
      <c r="AB41" s="31" t="s">
        <v>502</v>
      </c>
      <c r="AC41" s="31" t="s">
        <v>503</v>
      </c>
      <c r="AD41" s="31" t="s">
        <v>271</v>
      </c>
      <c r="AE41" s="37">
        <v>3540900</v>
      </c>
      <c r="AF41" s="37">
        <v>1000000</v>
      </c>
      <c r="AG41" s="31" t="s">
        <v>554</v>
      </c>
      <c r="AH41" s="31" t="s">
        <v>555</v>
      </c>
      <c r="AI41" s="31" t="s">
        <v>556</v>
      </c>
      <c r="AJ41" s="31" t="s">
        <v>271</v>
      </c>
      <c r="AK41" s="31" t="s">
        <v>557</v>
      </c>
      <c r="AL41" s="37">
        <v>1000000</v>
      </c>
      <c r="AM41" s="31" t="b">
        <v>1</v>
      </c>
      <c r="AN41" s="71">
        <v>1000000</v>
      </c>
      <c r="AO41" s="71">
        <f>テーブル24[[#This Row],[国庫補助基本額【上限100万円】]]-テーブル24[[#This Row],[内示用☑]]</f>
        <v>0</v>
      </c>
    </row>
    <row r="42" spans="1:41" ht="17.25" customHeight="1">
      <c r="A42" s="30">
        <v>41</v>
      </c>
      <c r="B42" s="31" t="s">
        <v>558</v>
      </c>
      <c r="C42" s="69" t="s">
        <v>559</v>
      </c>
      <c r="D42" s="31" t="s">
        <v>68</v>
      </c>
      <c r="E42" s="31" t="s">
        <v>69</v>
      </c>
      <c r="F42" s="31" t="s">
        <v>271</v>
      </c>
      <c r="G42" s="68" t="s">
        <v>288</v>
      </c>
      <c r="H42" s="31" t="s">
        <v>201</v>
      </c>
      <c r="I42" s="31" t="s">
        <v>271</v>
      </c>
      <c r="J42" s="31" t="s">
        <v>254</v>
      </c>
      <c r="K42" s="31" t="s">
        <v>271</v>
      </c>
      <c r="L42" s="31" t="s">
        <v>560</v>
      </c>
      <c r="M42" s="31" t="s">
        <v>271</v>
      </c>
      <c r="N42" s="31" t="s">
        <v>271</v>
      </c>
      <c r="O42" s="31" t="s">
        <v>271</v>
      </c>
      <c r="P42" s="31" t="s">
        <v>271</v>
      </c>
      <c r="Q42" s="31" t="s">
        <v>271</v>
      </c>
      <c r="R42" s="31" t="s">
        <v>271</v>
      </c>
      <c r="S42" s="31" t="s">
        <v>271</v>
      </c>
      <c r="T42" s="31" t="s">
        <v>271</v>
      </c>
      <c r="U42" s="31" t="s">
        <v>271</v>
      </c>
      <c r="V42" s="31" t="s">
        <v>364</v>
      </c>
      <c r="W42" s="31" t="s">
        <v>271</v>
      </c>
      <c r="X42" s="31" t="s">
        <v>288</v>
      </c>
      <c r="Y42" s="35" t="s">
        <v>247</v>
      </c>
      <c r="Z42" s="35" t="s">
        <v>248</v>
      </c>
      <c r="AA42" s="36" t="s">
        <v>223</v>
      </c>
      <c r="AB42" s="31" t="s">
        <v>510</v>
      </c>
      <c r="AC42" s="31" t="s">
        <v>511</v>
      </c>
      <c r="AD42" s="31" t="s">
        <v>271</v>
      </c>
      <c r="AE42" s="37">
        <v>1002740</v>
      </c>
      <c r="AF42" s="37">
        <v>1000000</v>
      </c>
      <c r="AG42" s="31" t="s">
        <v>561</v>
      </c>
      <c r="AH42" s="31" t="s">
        <v>562</v>
      </c>
      <c r="AI42" s="31" t="s">
        <v>563</v>
      </c>
      <c r="AJ42" s="31" t="s">
        <v>271</v>
      </c>
      <c r="AK42" s="31" t="s">
        <v>564</v>
      </c>
      <c r="AL42" s="37">
        <v>1000000</v>
      </c>
      <c r="AM42" s="31" t="b">
        <v>1</v>
      </c>
      <c r="AN42" s="71">
        <v>1000000</v>
      </c>
      <c r="AO42" s="71">
        <f>テーブル24[[#This Row],[国庫補助基本額【上限100万円】]]-テーブル24[[#This Row],[内示用☑]]</f>
        <v>0</v>
      </c>
    </row>
    <row r="43" spans="1:41" ht="17.25" customHeight="1">
      <c r="A43" s="30">
        <v>42</v>
      </c>
      <c r="B43" s="31" t="s">
        <v>565</v>
      </c>
      <c r="C43" s="69">
        <v>44550.743750000001</v>
      </c>
      <c r="D43" s="31" t="s">
        <v>68</v>
      </c>
      <c r="E43" s="31" t="s">
        <v>69</v>
      </c>
      <c r="F43" s="31" t="s">
        <v>271</v>
      </c>
      <c r="G43" s="68">
        <v>44550</v>
      </c>
      <c r="H43" s="31" t="s">
        <v>209</v>
      </c>
      <c r="I43" s="31" t="s">
        <v>271</v>
      </c>
      <c r="J43" s="31" t="s">
        <v>383</v>
      </c>
      <c r="K43" s="31" t="s">
        <v>271</v>
      </c>
      <c r="L43" s="31" t="s">
        <v>384</v>
      </c>
      <c r="M43" s="31" t="s">
        <v>271</v>
      </c>
      <c r="N43" s="31" t="s">
        <v>271</v>
      </c>
      <c r="O43" s="31" t="s">
        <v>271</v>
      </c>
      <c r="P43" s="31" t="s">
        <v>271</v>
      </c>
      <c r="Q43" s="31" t="s">
        <v>271</v>
      </c>
      <c r="R43" s="31" t="s">
        <v>271</v>
      </c>
      <c r="S43" s="31" t="s">
        <v>271</v>
      </c>
      <c r="T43" s="31" t="s">
        <v>271</v>
      </c>
      <c r="U43" s="31" t="s">
        <v>271</v>
      </c>
      <c r="V43" s="31" t="s">
        <v>385</v>
      </c>
      <c r="W43" s="31" t="s">
        <v>271</v>
      </c>
      <c r="X43" s="31">
        <v>44550</v>
      </c>
      <c r="Y43" s="35" t="s">
        <v>199</v>
      </c>
      <c r="Z43" s="35" t="s">
        <v>516</v>
      </c>
      <c r="AA43" s="36" t="s">
        <v>226</v>
      </c>
      <c r="AB43" s="31" t="s">
        <v>517</v>
      </c>
      <c r="AC43" s="31" t="s">
        <v>357</v>
      </c>
      <c r="AD43" s="31" t="s">
        <v>271</v>
      </c>
      <c r="AE43" s="37">
        <v>1038360</v>
      </c>
      <c r="AF43" s="37">
        <v>1000000</v>
      </c>
      <c r="AG43" s="31" t="s">
        <v>271</v>
      </c>
      <c r="AH43" s="31" t="s">
        <v>271</v>
      </c>
      <c r="AI43" s="31" t="s">
        <v>271</v>
      </c>
      <c r="AJ43" s="31" t="s">
        <v>271</v>
      </c>
      <c r="AK43" s="31" t="s">
        <v>271</v>
      </c>
      <c r="AL43" s="37">
        <v>1000000</v>
      </c>
      <c r="AM43" s="31" t="b">
        <v>1</v>
      </c>
      <c r="AN43" s="71">
        <v>0</v>
      </c>
      <c r="AO43" s="71">
        <f>テーブル24[[#This Row],[国庫補助基本額【上限100万円】]]-テーブル24[[#This Row],[内示用☑]]</f>
        <v>1000000</v>
      </c>
    </row>
    <row r="44" spans="1:41" ht="17.25" customHeight="1">
      <c r="A44" s="30">
        <v>43</v>
      </c>
      <c r="B44" s="31" t="s">
        <v>566</v>
      </c>
      <c r="C44" s="69">
        <v>44550.754166666666</v>
      </c>
      <c r="D44" s="31" t="s">
        <v>68</v>
      </c>
      <c r="E44" s="31" t="s">
        <v>69</v>
      </c>
      <c r="F44" s="31" t="s">
        <v>271</v>
      </c>
      <c r="G44" s="68">
        <v>44550</v>
      </c>
      <c r="H44" s="31" t="s">
        <v>205</v>
      </c>
      <c r="I44" s="31" t="s">
        <v>271</v>
      </c>
      <c r="J44" s="31" t="s">
        <v>210</v>
      </c>
      <c r="K44" s="31" t="s">
        <v>271</v>
      </c>
      <c r="L44" s="31" t="s">
        <v>395</v>
      </c>
      <c r="M44" s="31" t="s">
        <v>271</v>
      </c>
      <c r="N44" s="31" t="s">
        <v>271</v>
      </c>
      <c r="O44" s="31" t="s">
        <v>271</v>
      </c>
      <c r="P44" s="31" t="s">
        <v>271</v>
      </c>
      <c r="Q44" s="31" t="s">
        <v>271</v>
      </c>
      <c r="R44" s="31" t="s">
        <v>271</v>
      </c>
      <c r="S44" s="31" t="s">
        <v>271</v>
      </c>
      <c r="T44" s="31" t="s">
        <v>271</v>
      </c>
      <c r="U44" s="31" t="s">
        <v>271</v>
      </c>
      <c r="V44" s="31" t="s">
        <v>396</v>
      </c>
      <c r="W44" s="31" t="s">
        <v>271</v>
      </c>
      <c r="X44" s="31">
        <v>44550</v>
      </c>
      <c r="Y44" s="35" t="s">
        <v>199</v>
      </c>
      <c r="Z44" s="35" t="s">
        <v>626</v>
      </c>
      <c r="AA44" s="36" t="s">
        <v>226</v>
      </c>
      <c r="AB44" s="31" t="s">
        <v>517</v>
      </c>
      <c r="AC44" s="31" t="s">
        <v>357</v>
      </c>
      <c r="AD44" s="31" t="s">
        <v>271</v>
      </c>
      <c r="AE44" s="37">
        <v>1038360</v>
      </c>
      <c r="AF44" s="37">
        <v>1000000</v>
      </c>
      <c r="AG44" s="31" t="s">
        <v>271</v>
      </c>
      <c r="AH44" s="31" t="s">
        <v>271</v>
      </c>
      <c r="AI44" s="31" t="s">
        <v>271</v>
      </c>
      <c r="AJ44" s="31" t="s">
        <v>271</v>
      </c>
      <c r="AK44" s="31" t="s">
        <v>271</v>
      </c>
      <c r="AL44" s="37">
        <v>1000000</v>
      </c>
      <c r="AM44" s="31" t="b">
        <v>1</v>
      </c>
      <c r="AN44" s="71">
        <v>1000000</v>
      </c>
      <c r="AO44" s="71">
        <f>テーブル24[[#This Row],[国庫補助基本額【上限100万円】]]-テーブル24[[#This Row],[内示用☑]]</f>
        <v>0</v>
      </c>
    </row>
    <row r="45" spans="1:41" ht="17.25" customHeight="1">
      <c r="A45" s="30">
        <v>44</v>
      </c>
      <c r="B45" s="31" t="s">
        <v>567</v>
      </c>
      <c r="C45" s="69">
        <v>44550.808333333334</v>
      </c>
      <c r="D45" s="31" t="s">
        <v>68</v>
      </c>
      <c r="E45" s="31" t="s">
        <v>69</v>
      </c>
      <c r="F45" s="31" t="s">
        <v>271</v>
      </c>
      <c r="G45" s="68">
        <v>44550</v>
      </c>
      <c r="H45" s="31" t="s">
        <v>405</v>
      </c>
      <c r="I45" s="31" t="s">
        <v>271</v>
      </c>
      <c r="J45" s="31" t="s">
        <v>211</v>
      </c>
      <c r="K45" s="31" t="s">
        <v>271</v>
      </c>
      <c r="L45" s="31" t="s">
        <v>406</v>
      </c>
      <c r="M45" s="31" t="s">
        <v>271</v>
      </c>
      <c r="N45" s="31" t="s">
        <v>271</v>
      </c>
      <c r="O45" s="31" t="s">
        <v>271</v>
      </c>
      <c r="P45" s="31" t="s">
        <v>271</v>
      </c>
      <c r="Q45" s="31" t="s">
        <v>271</v>
      </c>
      <c r="R45" s="31" t="s">
        <v>271</v>
      </c>
      <c r="S45" s="31" t="s">
        <v>271</v>
      </c>
      <c r="T45" s="31" t="s">
        <v>271</v>
      </c>
      <c r="U45" s="31" t="s">
        <v>271</v>
      </c>
      <c r="V45" s="31" t="s">
        <v>407</v>
      </c>
      <c r="W45" s="31" t="s">
        <v>271</v>
      </c>
      <c r="X45" s="31">
        <v>44550</v>
      </c>
      <c r="Y45" s="35" t="s">
        <v>199</v>
      </c>
      <c r="Z45" s="35" t="s">
        <v>527</v>
      </c>
      <c r="AA45" s="36" t="s">
        <v>226</v>
      </c>
      <c r="AB45" s="31" t="s">
        <v>517</v>
      </c>
      <c r="AC45" s="31" t="s">
        <v>357</v>
      </c>
      <c r="AD45" s="31" t="s">
        <v>271</v>
      </c>
      <c r="AE45" s="37">
        <v>1038360</v>
      </c>
      <c r="AF45" s="37">
        <v>1000000</v>
      </c>
      <c r="AG45" s="31" t="s">
        <v>271</v>
      </c>
      <c r="AH45" s="31" t="s">
        <v>271</v>
      </c>
      <c r="AI45" s="31" t="s">
        <v>271</v>
      </c>
      <c r="AJ45" s="31" t="s">
        <v>271</v>
      </c>
      <c r="AK45" s="31" t="s">
        <v>271</v>
      </c>
      <c r="AL45" s="37">
        <v>1000000</v>
      </c>
      <c r="AM45" s="31" t="b">
        <v>1</v>
      </c>
      <c r="AN45" s="71">
        <v>0</v>
      </c>
      <c r="AO45" s="71">
        <f>テーブル24[[#This Row],[国庫補助基本額【上限100万円】]]-テーブル24[[#This Row],[内示用☑]]</f>
        <v>1000000</v>
      </c>
    </row>
    <row r="46" spans="1:41" ht="17.25" customHeight="1">
      <c r="A46" s="30">
        <v>45</v>
      </c>
      <c r="B46" s="31" t="s">
        <v>568</v>
      </c>
      <c r="C46" s="69">
        <v>44550.868750000001</v>
      </c>
      <c r="D46" s="31" t="s">
        <v>68</v>
      </c>
      <c r="E46" s="31" t="s">
        <v>69</v>
      </c>
      <c r="F46" s="31" t="s">
        <v>271</v>
      </c>
      <c r="G46" s="68">
        <v>44550</v>
      </c>
      <c r="H46" s="31" t="s">
        <v>415</v>
      </c>
      <c r="I46" s="31" t="s">
        <v>271</v>
      </c>
      <c r="J46" s="31" t="s">
        <v>213</v>
      </c>
      <c r="K46" s="31" t="s">
        <v>271</v>
      </c>
      <c r="L46" s="31" t="s">
        <v>416</v>
      </c>
      <c r="M46" s="31" t="s">
        <v>271</v>
      </c>
      <c r="N46" s="31" t="s">
        <v>271</v>
      </c>
      <c r="O46" s="31" t="s">
        <v>271</v>
      </c>
      <c r="P46" s="31" t="s">
        <v>271</v>
      </c>
      <c r="Q46" s="31" t="s">
        <v>271</v>
      </c>
      <c r="R46" s="31" t="s">
        <v>271</v>
      </c>
      <c r="S46" s="31" t="s">
        <v>271</v>
      </c>
      <c r="T46" s="31" t="s">
        <v>271</v>
      </c>
      <c r="U46" s="31" t="s">
        <v>271</v>
      </c>
      <c r="V46" s="31" t="s">
        <v>417</v>
      </c>
      <c r="W46" s="31" t="s">
        <v>418</v>
      </c>
      <c r="X46" s="31">
        <v>44550</v>
      </c>
      <c r="Y46" s="35" t="s">
        <v>199</v>
      </c>
      <c r="Z46" s="35" t="s">
        <v>627</v>
      </c>
      <c r="AA46" s="36" t="s">
        <v>226</v>
      </c>
      <c r="AB46" s="31" t="s">
        <v>517</v>
      </c>
      <c r="AC46" s="31" t="s">
        <v>357</v>
      </c>
      <c r="AD46" s="31" t="s">
        <v>271</v>
      </c>
      <c r="AE46" s="37">
        <v>1038360</v>
      </c>
      <c r="AF46" s="37">
        <v>1000000</v>
      </c>
      <c r="AG46" s="31" t="s">
        <v>271</v>
      </c>
      <c r="AH46" s="31" t="s">
        <v>271</v>
      </c>
      <c r="AI46" s="31" t="s">
        <v>271</v>
      </c>
      <c r="AJ46" s="31" t="s">
        <v>271</v>
      </c>
      <c r="AK46" s="31" t="s">
        <v>271</v>
      </c>
      <c r="AL46" s="37">
        <v>1000000</v>
      </c>
      <c r="AM46" s="31" t="b">
        <v>1</v>
      </c>
      <c r="AN46" s="71">
        <v>1000000</v>
      </c>
      <c r="AO46" s="71">
        <f>テーブル24[[#This Row],[国庫補助基本額【上限100万円】]]-テーブル24[[#This Row],[内示用☑]]</f>
        <v>0</v>
      </c>
    </row>
    <row r="47" spans="1:41" ht="17.25" customHeight="1">
      <c r="A47" s="30">
        <v>46</v>
      </c>
      <c r="B47" s="31" t="s">
        <v>569</v>
      </c>
      <c r="C47" s="69">
        <v>44551.488888888889</v>
      </c>
      <c r="D47" s="31" t="s">
        <v>68</v>
      </c>
      <c r="E47" s="31" t="s">
        <v>69</v>
      </c>
      <c r="F47" s="31" t="s">
        <v>271</v>
      </c>
      <c r="G47" s="68">
        <v>44551</v>
      </c>
      <c r="H47" s="31" t="s">
        <v>214</v>
      </c>
      <c r="I47" s="31" t="s">
        <v>271</v>
      </c>
      <c r="J47" s="31" t="s">
        <v>215</v>
      </c>
      <c r="K47" s="31" t="s">
        <v>271</v>
      </c>
      <c r="L47" s="31" t="s">
        <v>425</v>
      </c>
      <c r="M47" s="31" t="s">
        <v>271</v>
      </c>
      <c r="N47" s="31" t="s">
        <v>271</v>
      </c>
      <c r="O47" s="31" t="s">
        <v>271</v>
      </c>
      <c r="P47" s="31" t="s">
        <v>271</v>
      </c>
      <c r="Q47" s="31" t="s">
        <v>271</v>
      </c>
      <c r="R47" s="31" t="s">
        <v>271</v>
      </c>
      <c r="S47" s="31" t="s">
        <v>271</v>
      </c>
      <c r="T47" s="31" t="s">
        <v>271</v>
      </c>
      <c r="U47" s="31" t="s">
        <v>271</v>
      </c>
      <c r="V47" s="31" t="s">
        <v>426</v>
      </c>
      <c r="W47" s="31" t="s">
        <v>271</v>
      </c>
      <c r="X47" s="31">
        <v>44551</v>
      </c>
      <c r="Y47" s="35" t="s">
        <v>199</v>
      </c>
      <c r="Z47" s="35" t="s">
        <v>537</v>
      </c>
      <c r="AA47" s="36" t="s">
        <v>226</v>
      </c>
      <c r="AB47" s="31" t="s">
        <v>517</v>
      </c>
      <c r="AC47" s="31" t="s">
        <v>357</v>
      </c>
      <c r="AD47" s="31" t="s">
        <v>271</v>
      </c>
      <c r="AE47" s="37">
        <v>1038360</v>
      </c>
      <c r="AF47" s="37">
        <v>1000000</v>
      </c>
      <c r="AG47" s="31" t="s">
        <v>271</v>
      </c>
      <c r="AH47" s="31" t="s">
        <v>271</v>
      </c>
      <c r="AI47" s="31" t="s">
        <v>271</v>
      </c>
      <c r="AJ47" s="31" t="s">
        <v>271</v>
      </c>
      <c r="AK47" s="31" t="s">
        <v>271</v>
      </c>
      <c r="AL47" s="37">
        <v>1000000</v>
      </c>
      <c r="AM47" s="31" t="b">
        <v>1</v>
      </c>
      <c r="AN47" s="71">
        <v>1000000</v>
      </c>
      <c r="AO47" s="71">
        <f>テーブル24[[#This Row],[国庫補助基本額【上限100万円】]]-テーブル24[[#This Row],[内示用☑]]</f>
        <v>0</v>
      </c>
    </row>
    <row r="48" spans="1:41" ht="17.25" customHeight="1">
      <c r="A48" s="30">
        <v>47</v>
      </c>
      <c r="B48" s="31" t="s">
        <v>570</v>
      </c>
      <c r="C48" s="69">
        <v>44551.489583333336</v>
      </c>
      <c r="D48" s="31" t="s">
        <v>68</v>
      </c>
      <c r="E48" s="31" t="s">
        <v>69</v>
      </c>
      <c r="F48" s="31" t="s">
        <v>271</v>
      </c>
      <c r="G48" s="68">
        <v>44551</v>
      </c>
      <c r="H48" s="31" t="s">
        <v>216</v>
      </c>
      <c r="I48" s="31" t="s">
        <v>271</v>
      </c>
      <c r="J48" s="31" t="s">
        <v>435</v>
      </c>
      <c r="K48" s="31" t="s">
        <v>271</v>
      </c>
      <c r="L48" s="31" t="s">
        <v>436</v>
      </c>
      <c r="M48" s="31" t="s">
        <v>271</v>
      </c>
      <c r="N48" s="31" t="s">
        <v>271</v>
      </c>
      <c r="O48" s="31" t="s">
        <v>271</v>
      </c>
      <c r="P48" s="31" t="s">
        <v>271</v>
      </c>
      <c r="Q48" s="31" t="s">
        <v>271</v>
      </c>
      <c r="R48" s="31" t="s">
        <v>271</v>
      </c>
      <c r="S48" s="31" t="s">
        <v>271</v>
      </c>
      <c r="T48" s="31" t="s">
        <v>271</v>
      </c>
      <c r="U48" s="31" t="s">
        <v>271</v>
      </c>
      <c r="V48" s="31" t="s">
        <v>437</v>
      </c>
      <c r="W48" s="31" t="s">
        <v>271</v>
      </c>
      <c r="X48" s="31">
        <v>44551</v>
      </c>
      <c r="Y48" s="35" t="s">
        <v>199</v>
      </c>
      <c r="Z48" s="35" t="s">
        <v>543</v>
      </c>
      <c r="AA48" s="36" t="s">
        <v>226</v>
      </c>
      <c r="AB48" s="31" t="s">
        <v>517</v>
      </c>
      <c r="AC48" s="31" t="s">
        <v>357</v>
      </c>
      <c r="AD48" s="31" t="s">
        <v>271</v>
      </c>
      <c r="AE48" s="37">
        <v>1038360</v>
      </c>
      <c r="AF48" s="37">
        <v>1000000</v>
      </c>
      <c r="AG48" s="31" t="s">
        <v>271</v>
      </c>
      <c r="AH48" s="31" t="s">
        <v>271</v>
      </c>
      <c r="AI48" s="31" t="s">
        <v>271</v>
      </c>
      <c r="AJ48" s="31" t="s">
        <v>271</v>
      </c>
      <c r="AK48" s="31" t="s">
        <v>271</v>
      </c>
      <c r="AL48" s="37">
        <v>1000000</v>
      </c>
      <c r="AM48" s="31" t="b">
        <v>1</v>
      </c>
      <c r="AN48" s="71">
        <v>1000000</v>
      </c>
      <c r="AO48" s="71">
        <f>テーブル24[[#This Row],[国庫補助基本額【上限100万円】]]-テーブル24[[#This Row],[内示用☑]]</f>
        <v>0</v>
      </c>
    </row>
    <row r="49" spans="1:41" ht="17.25" customHeight="1">
      <c r="A49" s="30">
        <v>48</v>
      </c>
      <c r="B49" s="31" t="s">
        <v>571</v>
      </c>
      <c r="C49" s="69">
        <v>44551.620833333334</v>
      </c>
      <c r="D49" s="31" t="s">
        <v>68</v>
      </c>
      <c r="E49" s="31" t="s">
        <v>69</v>
      </c>
      <c r="F49" s="31" t="s">
        <v>271</v>
      </c>
      <c r="G49" s="68">
        <v>44551</v>
      </c>
      <c r="H49" s="31" t="s">
        <v>205</v>
      </c>
      <c r="I49" s="31" t="s">
        <v>271</v>
      </c>
      <c r="J49" s="31" t="s">
        <v>217</v>
      </c>
      <c r="K49" s="31" t="s">
        <v>271</v>
      </c>
      <c r="L49" s="31" t="s">
        <v>446</v>
      </c>
      <c r="M49" s="31" t="s">
        <v>271</v>
      </c>
      <c r="N49" s="31" t="s">
        <v>271</v>
      </c>
      <c r="O49" s="31" t="s">
        <v>271</v>
      </c>
      <c r="P49" s="31" t="s">
        <v>271</v>
      </c>
      <c r="Q49" s="31" t="s">
        <v>271</v>
      </c>
      <c r="R49" s="31" t="s">
        <v>271</v>
      </c>
      <c r="S49" s="31" t="s">
        <v>271</v>
      </c>
      <c r="T49" s="31" t="s">
        <v>271</v>
      </c>
      <c r="U49" s="31" t="s">
        <v>271</v>
      </c>
      <c r="V49" s="31" t="s">
        <v>447</v>
      </c>
      <c r="W49" s="31" t="s">
        <v>448</v>
      </c>
      <c r="X49" s="31">
        <v>44551</v>
      </c>
      <c r="Y49" s="35" t="s">
        <v>199</v>
      </c>
      <c r="Z49" s="35" t="s">
        <v>628</v>
      </c>
      <c r="AA49" s="36" t="s">
        <v>226</v>
      </c>
      <c r="AB49" s="31" t="s">
        <v>517</v>
      </c>
      <c r="AC49" s="31" t="s">
        <v>357</v>
      </c>
      <c r="AD49" s="31" t="s">
        <v>271</v>
      </c>
      <c r="AE49" s="37">
        <v>1038360</v>
      </c>
      <c r="AF49" s="37">
        <v>1000000</v>
      </c>
      <c r="AG49" s="31" t="s">
        <v>271</v>
      </c>
      <c r="AH49" s="31" t="s">
        <v>271</v>
      </c>
      <c r="AI49" s="31" t="s">
        <v>271</v>
      </c>
      <c r="AJ49" s="31" t="s">
        <v>271</v>
      </c>
      <c r="AK49" s="31" t="s">
        <v>271</v>
      </c>
      <c r="AL49" s="37">
        <v>1000000</v>
      </c>
      <c r="AM49" s="31" t="b">
        <v>1</v>
      </c>
      <c r="AN49" s="71">
        <v>1000000</v>
      </c>
      <c r="AO49" s="71">
        <f>テーブル24[[#This Row],[国庫補助基本額【上限100万円】]]-テーブル24[[#This Row],[内示用☑]]</f>
        <v>0</v>
      </c>
    </row>
    <row r="50" spans="1:41" ht="17.25" customHeight="1">
      <c r="A50" s="30">
        <v>49</v>
      </c>
      <c r="B50" s="31" t="s">
        <v>572</v>
      </c>
      <c r="C50" s="69">
        <v>44551.692361111112</v>
      </c>
      <c r="D50" s="31" t="s">
        <v>68</v>
      </c>
      <c r="E50" s="31" t="s">
        <v>69</v>
      </c>
      <c r="F50" s="31" t="s">
        <v>271</v>
      </c>
      <c r="G50" s="68">
        <v>44551</v>
      </c>
      <c r="H50" s="31" t="s">
        <v>218</v>
      </c>
      <c r="I50" s="31" t="s">
        <v>271</v>
      </c>
      <c r="J50" s="31" t="s">
        <v>219</v>
      </c>
      <c r="K50" s="31" t="s">
        <v>271</v>
      </c>
      <c r="L50" s="31" t="s">
        <v>457</v>
      </c>
      <c r="M50" s="31" t="s">
        <v>271</v>
      </c>
      <c r="N50" s="31" t="s">
        <v>271</v>
      </c>
      <c r="O50" s="31" t="s">
        <v>271</v>
      </c>
      <c r="P50" s="31" t="s">
        <v>271</v>
      </c>
      <c r="Q50" s="31" t="s">
        <v>271</v>
      </c>
      <c r="R50" s="31" t="s">
        <v>271</v>
      </c>
      <c r="S50" s="31" t="s">
        <v>271</v>
      </c>
      <c r="T50" s="31" t="s">
        <v>271</v>
      </c>
      <c r="U50" s="31" t="s">
        <v>271</v>
      </c>
      <c r="V50" s="31" t="s">
        <v>458</v>
      </c>
      <c r="W50" s="31" t="s">
        <v>271</v>
      </c>
      <c r="X50" s="31">
        <v>44551</v>
      </c>
      <c r="Y50" s="35" t="s">
        <v>199</v>
      </c>
      <c r="Z50" s="35" t="s">
        <v>553</v>
      </c>
      <c r="AA50" s="36" t="s">
        <v>226</v>
      </c>
      <c r="AB50" s="31" t="s">
        <v>517</v>
      </c>
      <c r="AC50" s="31" t="s">
        <v>357</v>
      </c>
      <c r="AD50" s="31" t="s">
        <v>271</v>
      </c>
      <c r="AE50" s="37">
        <v>1038360</v>
      </c>
      <c r="AF50" s="37">
        <v>1000000</v>
      </c>
      <c r="AG50" s="31" t="s">
        <v>271</v>
      </c>
      <c r="AH50" s="31" t="s">
        <v>271</v>
      </c>
      <c r="AI50" s="31" t="s">
        <v>271</v>
      </c>
      <c r="AJ50" s="31" t="s">
        <v>271</v>
      </c>
      <c r="AK50" s="31" t="s">
        <v>271</v>
      </c>
      <c r="AL50" s="37">
        <v>1000000</v>
      </c>
      <c r="AM50" s="31" t="b">
        <v>1</v>
      </c>
      <c r="AN50" s="71">
        <v>1000000</v>
      </c>
      <c r="AO50" s="71">
        <f>テーブル24[[#This Row],[国庫補助基本額【上限100万円】]]-テーブル24[[#This Row],[内示用☑]]</f>
        <v>0</v>
      </c>
    </row>
    <row r="51" spans="1:41" ht="17.25" customHeight="1">
      <c r="A51" s="30">
        <v>50</v>
      </c>
      <c r="B51" s="31" t="s">
        <v>573</v>
      </c>
      <c r="C51" s="69">
        <v>44551.726388888892</v>
      </c>
      <c r="D51" s="31" t="s">
        <v>68</v>
      </c>
      <c r="E51" s="31" t="s">
        <v>69</v>
      </c>
      <c r="F51" s="31" t="s">
        <v>271</v>
      </c>
      <c r="G51" s="68">
        <v>44551</v>
      </c>
      <c r="H51" s="31" t="s">
        <v>201</v>
      </c>
      <c r="I51" s="31" t="s">
        <v>271</v>
      </c>
      <c r="J51" s="31" t="s">
        <v>220</v>
      </c>
      <c r="K51" s="31" t="s">
        <v>271</v>
      </c>
      <c r="L51" s="31" t="s">
        <v>463</v>
      </c>
      <c r="M51" s="31" t="s">
        <v>271</v>
      </c>
      <c r="N51" s="31" t="s">
        <v>271</v>
      </c>
      <c r="O51" s="31" t="s">
        <v>271</v>
      </c>
      <c r="P51" s="31" t="s">
        <v>271</v>
      </c>
      <c r="Q51" s="31" t="s">
        <v>271</v>
      </c>
      <c r="R51" s="31" t="s">
        <v>271</v>
      </c>
      <c r="S51" s="31" t="s">
        <v>271</v>
      </c>
      <c r="T51" s="31" t="s">
        <v>271</v>
      </c>
      <c r="U51" s="31" t="s">
        <v>271</v>
      </c>
      <c r="V51" s="31" t="s">
        <v>464</v>
      </c>
      <c r="W51" s="31" t="s">
        <v>271</v>
      </c>
      <c r="X51" s="31">
        <v>44551</v>
      </c>
      <c r="Y51" s="35" t="s">
        <v>201</v>
      </c>
      <c r="Z51" s="35" t="s">
        <v>254</v>
      </c>
      <c r="AA51" s="36" t="s">
        <v>488</v>
      </c>
      <c r="AB51" s="31" t="s">
        <v>560</v>
      </c>
      <c r="AC51" s="31" t="s">
        <v>364</v>
      </c>
      <c r="AD51" s="31" t="s">
        <v>271</v>
      </c>
      <c r="AE51" s="37">
        <v>1175900</v>
      </c>
      <c r="AF51" s="37">
        <v>1000000</v>
      </c>
      <c r="AG51" s="31" t="s">
        <v>574</v>
      </c>
      <c r="AH51" s="31" t="s">
        <v>575</v>
      </c>
      <c r="AI51" s="31" t="s">
        <v>576</v>
      </c>
      <c r="AJ51" s="31" t="s">
        <v>271</v>
      </c>
      <c r="AK51" s="31" t="s">
        <v>577</v>
      </c>
      <c r="AL51" s="37">
        <v>1000000</v>
      </c>
      <c r="AM51" s="31" t="b">
        <v>1</v>
      </c>
      <c r="AN51" s="71">
        <v>1000000</v>
      </c>
      <c r="AO51" s="71">
        <f>テーブル24[[#This Row],[国庫補助基本額【上限100万円】]]-テーブル24[[#This Row],[内示用☑]]</f>
        <v>0</v>
      </c>
    </row>
    <row r="52" spans="1:41" ht="17.25" customHeight="1">
      <c r="A52" s="30">
        <v>51</v>
      </c>
      <c r="B52" s="31" t="s">
        <v>573</v>
      </c>
      <c r="C52" s="69">
        <v>44551.726388888892</v>
      </c>
      <c r="D52" s="31" t="s">
        <v>68</v>
      </c>
      <c r="E52" s="31" t="s">
        <v>69</v>
      </c>
      <c r="F52" s="31" t="s">
        <v>271</v>
      </c>
      <c r="G52" s="68">
        <v>44551</v>
      </c>
      <c r="H52" s="31" t="s">
        <v>201</v>
      </c>
      <c r="I52" s="31" t="s">
        <v>271</v>
      </c>
      <c r="J52" s="31" t="s">
        <v>220</v>
      </c>
      <c r="K52" s="31" t="s">
        <v>271</v>
      </c>
      <c r="L52" s="31" t="s">
        <v>463</v>
      </c>
      <c r="M52" s="31" t="s">
        <v>271</v>
      </c>
      <c r="N52" s="31" t="s">
        <v>271</v>
      </c>
      <c r="O52" s="31" t="s">
        <v>271</v>
      </c>
      <c r="P52" s="31" t="s">
        <v>271</v>
      </c>
      <c r="Q52" s="31" t="s">
        <v>271</v>
      </c>
      <c r="R52" s="31" t="s">
        <v>271</v>
      </c>
      <c r="S52" s="31" t="s">
        <v>271</v>
      </c>
      <c r="T52" s="31" t="s">
        <v>271</v>
      </c>
      <c r="U52" s="31" t="s">
        <v>271</v>
      </c>
      <c r="V52" s="31" t="s">
        <v>464</v>
      </c>
      <c r="W52" s="31" t="s">
        <v>271</v>
      </c>
      <c r="X52" s="31">
        <v>44551</v>
      </c>
      <c r="Y52" s="35" t="s">
        <v>205</v>
      </c>
      <c r="Z52" s="35" t="s">
        <v>255</v>
      </c>
      <c r="AA52" s="36" t="s">
        <v>223</v>
      </c>
      <c r="AB52" s="31" t="s">
        <v>578</v>
      </c>
      <c r="AC52" s="31" t="s">
        <v>579</v>
      </c>
      <c r="AD52" s="31" t="s">
        <v>271</v>
      </c>
      <c r="AE52" s="37">
        <v>1256115</v>
      </c>
      <c r="AF52" s="37">
        <v>1000000</v>
      </c>
      <c r="AG52" s="31" t="s">
        <v>580</v>
      </c>
      <c r="AH52" s="31" t="s">
        <v>581</v>
      </c>
      <c r="AI52" s="31" t="s">
        <v>582</v>
      </c>
      <c r="AJ52" s="31" t="s">
        <v>271</v>
      </c>
      <c r="AK52" s="31" t="s">
        <v>583</v>
      </c>
      <c r="AL52" s="37">
        <v>1000000</v>
      </c>
      <c r="AM52" s="31" t="b">
        <v>1</v>
      </c>
      <c r="AN52" s="71">
        <v>956115</v>
      </c>
      <c r="AO52" s="71">
        <f>テーブル24[[#This Row],[国庫補助基本額【上限100万円】]]-テーブル24[[#This Row],[内示用☑]]</f>
        <v>43885</v>
      </c>
    </row>
    <row r="53" spans="1:41" ht="21.75" customHeight="1">
      <c r="A53" s="73" t="s">
        <v>83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2"/>
      <c r="Z53" s="73"/>
      <c r="AA53" s="74"/>
      <c r="AB53" s="73"/>
      <c r="AC53" s="73"/>
      <c r="AD53" s="73"/>
      <c r="AE53" s="75">
        <f>SUBTOTAL(109,テーブル24[国庫補助対象経費の実支出（予定）額])</f>
        <v>52149617</v>
      </c>
      <c r="AF53" s="75">
        <f>SUBTOTAL(109,テーブル24[国庫補助基本額【上限100万円】])</f>
        <v>40577154</v>
      </c>
      <c r="AG53" s="73"/>
      <c r="AH53" s="73"/>
      <c r="AI53" s="73"/>
      <c r="AJ53" s="73"/>
      <c r="AK53" s="73">
        <f>SUBTOTAL(103,テーブル24[履歴])</f>
        <v>51</v>
      </c>
      <c r="AL53" s="73">
        <f>SUBTOTAL(109,テーブル24[チェック])</f>
        <v>40577154</v>
      </c>
      <c r="AM53" s="72"/>
      <c r="AN53" s="76">
        <f>SUBTOTAL(109,テーブル24[内示用☑])</f>
        <v>36302484</v>
      </c>
      <c r="AO53" s="76">
        <f>テーブル24[[#Totals],[国庫補助基本額【上限100万円】]]-テーブル24[[#Totals],[内示用☑]]</f>
        <v>4274670</v>
      </c>
    </row>
  </sheetData>
  <phoneticPr fontId="1"/>
  <conditionalFormatting sqref="AM2:AM52">
    <cfRule type="containsText" dxfId="0" priority="1" operator="containsText" text="FALSE">
      <formula>NOT(ISERROR(SEARCH("FALSE",AM2)))</formula>
    </cfRule>
  </conditionalFormatting>
  <pageMargins left="0.23622047244094491" right="0.23622047244094491" top="0.35433070866141736" bottom="7.874015748031496E-2" header="0.19685039370078741" footer="0.31496062992125984"/>
  <pageSetup paperSize="9" scale="80" fitToHeight="0" orientation="landscape" r:id="rId1"/>
  <headerFooter>
    <oddHeader>&amp;L&amp;F</oddHeader>
  </headerFooter>
  <legacy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>
    <tabColor theme="7"/>
    <pageSetUpPr fitToPage="1"/>
  </sheetPr>
  <dimension ref="A1:K55"/>
  <sheetViews>
    <sheetView showGridLines="0" view="pageBreakPreview" topLeftCell="F1" zoomScale="60" zoomScaleNormal="60" workbookViewId="0">
      <pane ySplit="2" topLeftCell="A3" activePane="bottomLeft" state="frozen"/>
      <selection pane="bottomLeft" activeCell="J17" sqref="J17"/>
    </sheetView>
  </sheetViews>
  <sheetFormatPr defaultColWidth="9" defaultRowHeight="13" outlineLevelCol="1"/>
  <cols>
    <col min="1" max="1" width="13.26953125" style="149" hidden="1" customWidth="1" outlineLevel="1"/>
    <col min="2" max="2" width="17.90625" style="149" hidden="1" customWidth="1" outlineLevel="1"/>
    <col min="3" max="3" width="13" style="150" customWidth="1" collapsed="1"/>
    <col min="4" max="4" width="17.36328125" style="150" customWidth="1"/>
    <col min="5" max="5" width="64.7265625" style="149" customWidth="1"/>
    <col min="6" max="6" width="65.26953125" style="151" customWidth="1"/>
    <col min="7" max="8" width="35.36328125" style="149" customWidth="1"/>
    <col min="9" max="9" width="13.26953125" style="150" customWidth="1"/>
    <col min="10" max="10" width="33.90625" style="149" bestFit="1" customWidth="1"/>
    <col min="11" max="11" width="92" style="149" bestFit="1" customWidth="1"/>
    <col min="12" max="16384" width="9" style="149"/>
  </cols>
  <sheetData>
    <row r="1" spans="1:11" s="126" customFormat="1" ht="66.75" customHeight="1">
      <c r="A1" s="195" t="s">
        <v>851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s="129" customFormat="1" ht="37.5" customHeight="1">
      <c r="A2" s="127" t="s">
        <v>852</v>
      </c>
      <c r="B2" s="127" t="s">
        <v>853</v>
      </c>
      <c r="C2" s="127" t="s">
        <v>854</v>
      </c>
      <c r="D2" s="127" t="s">
        <v>172</v>
      </c>
      <c r="E2" s="127" t="s">
        <v>173</v>
      </c>
      <c r="F2" s="127" t="s">
        <v>174</v>
      </c>
      <c r="G2" s="127" t="s">
        <v>175</v>
      </c>
      <c r="H2" s="127" t="s">
        <v>176</v>
      </c>
      <c r="I2" s="127" t="s">
        <v>177</v>
      </c>
      <c r="J2" s="127" t="s">
        <v>178</v>
      </c>
      <c r="K2" s="128" t="s">
        <v>179</v>
      </c>
    </row>
    <row r="3" spans="1:11" s="129" customFormat="1" ht="27.75" customHeight="1">
      <c r="A3" s="130">
        <v>31</v>
      </c>
      <c r="B3" s="130">
        <v>1</v>
      </c>
      <c r="C3" s="131" t="s">
        <v>855</v>
      </c>
      <c r="D3" s="131" t="s">
        <v>180</v>
      </c>
      <c r="E3" s="130" t="s">
        <v>181</v>
      </c>
      <c r="F3" s="130" t="s">
        <v>182</v>
      </c>
      <c r="G3" s="130" t="s">
        <v>75</v>
      </c>
      <c r="H3" s="131"/>
      <c r="I3" s="132" t="s">
        <v>183</v>
      </c>
      <c r="J3" s="133">
        <v>560000</v>
      </c>
      <c r="K3" s="134"/>
    </row>
    <row r="4" spans="1:11" s="129" customFormat="1" ht="27.75" customHeight="1">
      <c r="A4" s="135">
        <v>31</v>
      </c>
      <c r="B4" s="135">
        <v>2</v>
      </c>
      <c r="C4" s="136" t="s">
        <v>856</v>
      </c>
      <c r="D4" s="136" t="s">
        <v>180</v>
      </c>
      <c r="E4" s="135" t="s">
        <v>113</v>
      </c>
      <c r="F4" s="135" t="s">
        <v>117</v>
      </c>
      <c r="G4" s="135" t="s">
        <v>110</v>
      </c>
      <c r="H4" s="136"/>
      <c r="I4" s="137" t="s">
        <v>183</v>
      </c>
      <c r="J4" s="138">
        <v>517000</v>
      </c>
      <c r="K4" s="139"/>
    </row>
    <row r="5" spans="1:11" s="129" customFormat="1" ht="27.75" customHeight="1">
      <c r="A5" s="130">
        <v>31</v>
      </c>
      <c r="B5" s="130">
        <v>3</v>
      </c>
      <c r="C5" s="131" t="s">
        <v>855</v>
      </c>
      <c r="D5" s="131" t="s">
        <v>180</v>
      </c>
      <c r="E5" s="130" t="s">
        <v>113</v>
      </c>
      <c r="F5" s="130" t="s">
        <v>184</v>
      </c>
      <c r="G5" s="130" t="s">
        <v>75</v>
      </c>
      <c r="H5" s="131"/>
      <c r="I5" s="132" t="s">
        <v>183</v>
      </c>
      <c r="J5" s="133">
        <v>666000</v>
      </c>
      <c r="K5" s="134"/>
    </row>
    <row r="6" spans="1:11" s="129" customFormat="1" ht="27.75" customHeight="1">
      <c r="A6" s="135">
        <v>31</v>
      </c>
      <c r="B6" s="135">
        <v>4</v>
      </c>
      <c r="C6" s="136" t="s">
        <v>856</v>
      </c>
      <c r="D6" s="136" t="s">
        <v>180</v>
      </c>
      <c r="E6" s="135" t="s">
        <v>185</v>
      </c>
      <c r="F6" s="135" t="s">
        <v>857</v>
      </c>
      <c r="G6" s="135" t="s">
        <v>75</v>
      </c>
      <c r="H6" s="136"/>
      <c r="I6" s="137" t="s">
        <v>183</v>
      </c>
      <c r="J6" s="138">
        <v>666000</v>
      </c>
      <c r="K6" s="139"/>
    </row>
    <row r="7" spans="1:11" s="129" customFormat="1" ht="27.75" customHeight="1">
      <c r="A7" s="130">
        <v>31</v>
      </c>
      <c r="B7" s="130">
        <v>5</v>
      </c>
      <c r="C7" s="131" t="s">
        <v>855</v>
      </c>
      <c r="D7" s="131" t="s">
        <v>186</v>
      </c>
      <c r="E7" s="130" t="s">
        <v>187</v>
      </c>
      <c r="F7" s="130" t="s">
        <v>188</v>
      </c>
      <c r="G7" s="130" t="s">
        <v>189</v>
      </c>
      <c r="H7" s="131"/>
      <c r="I7" s="132" t="s">
        <v>183</v>
      </c>
      <c r="J7" s="133">
        <v>187000</v>
      </c>
      <c r="K7" s="134"/>
    </row>
    <row r="8" spans="1:11" s="129" customFormat="1" ht="27.75" customHeight="1">
      <c r="A8" s="135">
        <v>31</v>
      </c>
      <c r="B8" s="135">
        <v>6</v>
      </c>
      <c r="C8" s="136" t="s">
        <v>855</v>
      </c>
      <c r="D8" s="136" t="s">
        <v>186</v>
      </c>
      <c r="E8" s="135" t="s">
        <v>190</v>
      </c>
      <c r="F8" s="135" t="s">
        <v>191</v>
      </c>
      <c r="G8" s="135" t="s">
        <v>75</v>
      </c>
      <c r="H8" s="136"/>
      <c r="I8" s="137" t="s">
        <v>183</v>
      </c>
      <c r="J8" s="138">
        <v>666000</v>
      </c>
      <c r="K8" s="139"/>
    </row>
    <row r="9" spans="1:11" s="129" customFormat="1" ht="27.75" hidden="1" customHeight="1">
      <c r="A9" s="130">
        <v>31</v>
      </c>
      <c r="B9" s="130">
        <v>7</v>
      </c>
      <c r="C9" s="131" t="s">
        <v>856</v>
      </c>
      <c r="D9" s="131" t="s">
        <v>180</v>
      </c>
      <c r="E9" s="130" t="s">
        <v>192</v>
      </c>
      <c r="F9" s="130" t="s">
        <v>193</v>
      </c>
      <c r="G9" s="130" t="s">
        <v>75</v>
      </c>
      <c r="H9" s="131"/>
      <c r="I9" s="140" t="s">
        <v>194</v>
      </c>
      <c r="J9" s="141">
        <v>0</v>
      </c>
      <c r="K9" s="134" t="s">
        <v>195</v>
      </c>
    </row>
    <row r="10" spans="1:11" s="129" customFormat="1" ht="27.75" customHeight="1">
      <c r="A10" s="135">
        <v>31</v>
      </c>
      <c r="B10" s="135">
        <v>8</v>
      </c>
      <c r="C10" s="136" t="s">
        <v>856</v>
      </c>
      <c r="D10" s="136" t="s">
        <v>180</v>
      </c>
      <c r="E10" s="135" t="s">
        <v>185</v>
      </c>
      <c r="F10" s="135" t="s">
        <v>196</v>
      </c>
      <c r="G10" s="135" t="s">
        <v>189</v>
      </c>
      <c r="H10" s="136"/>
      <c r="I10" s="137" t="s">
        <v>183</v>
      </c>
      <c r="J10" s="138">
        <v>666000</v>
      </c>
      <c r="K10" s="139"/>
    </row>
    <row r="11" spans="1:11" s="129" customFormat="1" ht="27.75" customHeight="1">
      <c r="A11" s="130">
        <v>31</v>
      </c>
      <c r="B11" s="130">
        <v>9</v>
      </c>
      <c r="C11" s="131" t="s">
        <v>856</v>
      </c>
      <c r="D11" s="131" t="s">
        <v>180</v>
      </c>
      <c r="E11" s="130" t="s">
        <v>185</v>
      </c>
      <c r="F11" s="130" t="s">
        <v>197</v>
      </c>
      <c r="G11" s="130" t="s">
        <v>75</v>
      </c>
      <c r="H11" s="131"/>
      <c r="I11" s="132" t="s">
        <v>183</v>
      </c>
      <c r="J11" s="133">
        <v>666000</v>
      </c>
      <c r="K11" s="134"/>
    </row>
    <row r="12" spans="1:11" s="129" customFormat="1" ht="27.75" hidden="1" customHeight="1">
      <c r="A12" s="135">
        <v>31</v>
      </c>
      <c r="B12" s="135">
        <v>10</v>
      </c>
      <c r="C12" s="136" t="s">
        <v>855</v>
      </c>
      <c r="D12" s="136" t="s">
        <v>180</v>
      </c>
      <c r="E12" s="135" t="s">
        <v>95</v>
      </c>
      <c r="F12" s="135" t="s">
        <v>99</v>
      </c>
      <c r="G12" s="135" t="s">
        <v>75</v>
      </c>
      <c r="H12" s="136"/>
      <c r="I12" s="142" t="s">
        <v>194</v>
      </c>
      <c r="J12" s="143">
        <v>0</v>
      </c>
      <c r="K12" s="139" t="s">
        <v>195</v>
      </c>
    </row>
    <row r="13" spans="1:11" s="129" customFormat="1" ht="27.75" customHeight="1">
      <c r="A13" s="130">
        <v>31</v>
      </c>
      <c r="B13" s="130">
        <v>11</v>
      </c>
      <c r="C13" s="131" t="s">
        <v>855</v>
      </c>
      <c r="D13" s="131" t="s">
        <v>180</v>
      </c>
      <c r="E13" s="130" t="s">
        <v>190</v>
      </c>
      <c r="F13" s="130" t="s">
        <v>198</v>
      </c>
      <c r="G13" s="130" t="s">
        <v>75</v>
      </c>
      <c r="H13" s="131"/>
      <c r="I13" s="132" t="s">
        <v>183</v>
      </c>
      <c r="J13" s="133">
        <v>338000</v>
      </c>
      <c r="K13" s="134"/>
    </row>
    <row r="14" spans="1:11" s="129" customFormat="1" ht="27.75" customHeight="1">
      <c r="A14" s="135">
        <v>31</v>
      </c>
      <c r="B14" s="135">
        <v>12</v>
      </c>
      <c r="C14" s="136" t="s">
        <v>855</v>
      </c>
      <c r="D14" s="136" t="s">
        <v>180</v>
      </c>
      <c r="E14" s="135" t="s">
        <v>858</v>
      </c>
      <c r="F14" s="135" t="s">
        <v>859</v>
      </c>
      <c r="G14" s="135" t="s">
        <v>189</v>
      </c>
      <c r="H14" s="136"/>
      <c r="I14" s="137" t="s">
        <v>183</v>
      </c>
      <c r="J14" s="138">
        <v>446000</v>
      </c>
      <c r="K14" s="139"/>
    </row>
    <row r="15" spans="1:11" s="129" customFormat="1" ht="27.75" customHeight="1">
      <c r="A15" s="130">
        <v>31</v>
      </c>
      <c r="B15" s="130">
        <v>13</v>
      </c>
      <c r="C15" s="131" t="s">
        <v>855</v>
      </c>
      <c r="D15" s="131" t="s">
        <v>180</v>
      </c>
      <c r="E15" s="130" t="s">
        <v>199</v>
      </c>
      <c r="F15" s="130" t="s">
        <v>200</v>
      </c>
      <c r="G15" s="130" t="s">
        <v>189</v>
      </c>
      <c r="H15" s="131"/>
      <c r="I15" s="132" t="s">
        <v>183</v>
      </c>
      <c r="J15" s="133">
        <v>666000</v>
      </c>
      <c r="K15" s="134"/>
    </row>
    <row r="16" spans="1:11" s="129" customFormat="1" ht="27.75" customHeight="1">
      <c r="A16" s="135">
        <v>31</v>
      </c>
      <c r="B16" s="135">
        <v>14</v>
      </c>
      <c r="C16" s="136" t="s">
        <v>855</v>
      </c>
      <c r="D16" s="136" t="s">
        <v>180</v>
      </c>
      <c r="E16" s="135" t="s">
        <v>201</v>
      </c>
      <c r="F16" s="135" t="s">
        <v>202</v>
      </c>
      <c r="G16" s="135" t="s">
        <v>75</v>
      </c>
      <c r="H16" s="136"/>
      <c r="I16" s="137" t="s">
        <v>183</v>
      </c>
      <c r="J16" s="138">
        <v>666000</v>
      </c>
      <c r="K16" s="139"/>
    </row>
    <row r="17" spans="1:11" s="129" customFormat="1" ht="27.75" customHeight="1">
      <c r="A17" s="130">
        <v>31</v>
      </c>
      <c r="B17" s="130">
        <v>15</v>
      </c>
      <c r="C17" s="131" t="s">
        <v>855</v>
      </c>
      <c r="D17" s="131" t="s">
        <v>180</v>
      </c>
      <c r="E17" s="130" t="s">
        <v>199</v>
      </c>
      <c r="F17" s="130" t="s">
        <v>203</v>
      </c>
      <c r="G17" s="130" t="s">
        <v>189</v>
      </c>
      <c r="H17" s="131"/>
      <c r="I17" s="132" t="s">
        <v>183</v>
      </c>
      <c r="J17" s="133">
        <v>666000</v>
      </c>
      <c r="K17" s="134"/>
    </row>
    <row r="18" spans="1:11" s="129" customFormat="1" ht="27.75" customHeight="1">
      <c r="A18" s="135">
        <v>31</v>
      </c>
      <c r="B18" s="135">
        <v>16</v>
      </c>
      <c r="C18" s="136" t="s">
        <v>855</v>
      </c>
      <c r="D18" s="136" t="s">
        <v>180</v>
      </c>
      <c r="E18" s="135" t="s">
        <v>199</v>
      </c>
      <c r="F18" s="135" t="s">
        <v>204</v>
      </c>
      <c r="G18" s="135" t="s">
        <v>189</v>
      </c>
      <c r="H18" s="136"/>
      <c r="I18" s="137" t="s">
        <v>183</v>
      </c>
      <c r="J18" s="138">
        <v>666000</v>
      </c>
      <c r="K18" s="139"/>
    </row>
    <row r="19" spans="1:11" s="129" customFormat="1" ht="27.75" customHeight="1">
      <c r="A19" s="130">
        <v>31</v>
      </c>
      <c r="B19" s="130">
        <v>17</v>
      </c>
      <c r="C19" s="131" t="s">
        <v>855</v>
      </c>
      <c r="D19" s="131" t="s">
        <v>180</v>
      </c>
      <c r="E19" s="130" t="s">
        <v>205</v>
      </c>
      <c r="F19" s="130" t="s">
        <v>206</v>
      </c>
      <c r="G19" s="130" t="s">
        <v>207</v>
      </c>
      <c r="H19" s="131"/>
      <c r="I19" s="140" t="s">
        <v>194</v>
      </c>
      <c r="J19" s="141">
        <v>343000</v>
      </c>
      <c r="K19" s="134" t="s">
        <v>208</v>
      </c>
    </row>
    <row r="20" spans="1:11" s="129" customFormat="1" ht="27.75" customHeight="1">
      <c r="A20" s="135">
        <v>31</v>
      </c>
      <c r="B20" s="135">
        <v>18</v>
      </c>
      <c r="C20" s="136" t="s">
        <v>855</v>
      </c>
      <c r="D20" s="136" t="s">
        <v>180</v>
      </c>
      <c r="E20" s="135" t="s">
        <v>209</v>
      </c>
      <c r="F20" s="135" t="s">
        <v>210</v>
      </c>
      <c r="G20" s="135" t="s">
        <v>207</v>
      </c>
      <c r="H20" s="136"/>
      <c r="I20" s="137" t="s">
        <v>183</v>
      </c>
      <c r="J20" s="138">
        <v>666000</v>
      </c>
      <c r="K20" s="139"/>
    </row>
    <row r="21" spans="1:11" s="129" customFormat="1" ht="27.75" customHeight="1">
      <c r="A21" s="130">
        <v>31</v>
      </c>
      <c r="B21" s="130">
        <v>19</v>
      </c>
      <c r="C21" s="131" t="s">
        <v>855</v>
      </c>
      <c r="D21" s="131" t="s">
        <v>180</v>
      </c>
      <c r="E21" s="130" t="s">
        <v>860</v>
      </c>
      <c r="F21" s="130" t="s">
        <v>211</v>
      </c>
      <c r="G21" s="130" t="s">
        <v>212</v>
      </c>
      <c r="H21" s="131"/>
      <c r="I21" s="132" t="s">
        <v>183</v>
      </c>
      <c r="J21" s="133">
        <v>516000</v>
      </c>
      <c r="K21" s="134"/>
    </row>
    <row r="22" spans="1:11" s="129" customFormat="1" ht="27.75" customHeight="1">
      <c r="A22" s="135">
        <v>31</v>
      </c>
      <c r="B22" s="135">
        <v>20</v>
      </c>
      <c r="C22" s="136" t="s">
        <v>855</v>
      </c>
      <c r="D22" s="136" t="s">
        <v>180</v>
      </c>
      <c r="E22" s="135" t="s">
        <v>861</v>
      </c>
      <c r="F22" s="135" t="s">
        <v>213</v>
      </c>
      <c r="G22" s="135" t="s">
        <v>207</v>
      </c>
      <c r="H22" s="136"/>
      <c r="I22" s="137" t="s">
        <v>183</v>
      </c>
      <c r="J22" s="138">
        <v>666000</v>
      </c>
      <c r="K22" s="139"/>
    </row>
    <row r="23" spans="1:11" s="129" customFormat="1" ht="27.75" customHeight="1">
      <c r="A23" s="130">
        <v>31</v>
      </c>
      <c r="B23" s="130">
        <v>21</v>
      </c>
      <c r="C23" s="131" t="s">
        <v>855</v>
      </c>
      <c r="D23" s="131" t="s">
        <v>180</v>
      </c>
      <c r="E23" s="130" t="s">
        <v>214</v>
      </c>
      <c r="F23" s="130" t="s">
        <v>215</v>
      </c>
      <c r="G23" s="130" t="s">
        <v>212</v>
      </c>
      <c r="H23" s="131"/>
      <c r="I23" s="132" t="s">
        <v>183</v>
      </c>
      <c r="J23" s="133">
        <v>50000</v>
      </c>
      <c r="K23" s="134"/>
    </row>
    <row r="24" spans="1:11" s="129" customFormat="1" ht="27.75" customHeight="1">
      <c r="A24" s="135">
        <v>31</v>
      </c>
      <c r="B24" s="135">
        <v>22</v>
      </c>
      <c r="C24" s="136" t="s">
        <v>855</v>
      </c>
      <c r="D24" s="136" t="s">
        <v>180</v>
      </c>
      <c r="E24" s="135" t="s">
        <v>216</v>
      </c>
      <c r="F24" s="135" t="s">
        <v>862</v>
      </c>
      <c r="G24" s="135" t="s">
        <v>212</v>
      </c>
      <c r="H24" s="136"/>
      <c r="I24" s="137" t="s">
        <v>183</v>
      </c>
      <c r="J24" s="138">
        <v>144000</v>
      </c>
      <c r="K24" s="139"/>
    </row>
    <row r="25" spans="1:11" s="129" customFormat="1" ht="27.75" customHeight="1">
      <c r="A25" s="130">
        <v>31</v>
      </c>
      <c r="B25" s="130">
        <v>23</v>
      </c>
      <c r="C25" s="131" t="s">
        <v>855</v>
      </c>
      <c r="D25" s="131" t="s">
        <v>180</v>
      </c>
      <c r="E25" s="130" t="s">
        <v>209</v>
      </c>
      <c r="F25" s="130" t="s">
        <v>217</v>
      </c>
      <c r="G25" s="130" t="s">
        <v>212</v>
      </c>
      <c r="H25" s="131"/>
      <c r="I25" s="132" t="s">
        <v>183</v>
      </c>
      <c r="J25" s="133">
        <v>615000</v>
      </c>
      <c r="K25" s="134"/>
    </row>
    <row r="26" spans="1:11" s="129" customFormat="1" ht="27.75" customHeight="1">
      <c r="A26" s="135">
        <v>31</v>
      </c>
      <c r="B26" s="135">
        <v>24</v>
      </c>
      <c r="C26" s="136" t="s">
        <v>855</v>
      </c>
      <c r="D26" s="136" t="s">
        <v>180</v>
      </c>
      <c r="E26" s="135" t="s">
        <v>218</v>
      </c>
      <c r="F26" s="135" t="s">
        <v>219</v>
      </c>
      <c r="G26" s="135" t="s">
        <v>207</v>
      </c>
      <c r="H26" s="136"/>
      <c r="I26" s="137" t="s">
        <v>183</v>
      </c>
      <c r="J26" s="138">
        <v>121000</v>
      </c>
      <c r="K26" s="139"/>
    </row>
    <row r="27" spans="1:11" s="129" customFormat="1" ht="27.75" customHeight="1">
      <c r="A27" s="130">
        <v>31</v>
      </c>
      <c r="B27" s="130">
        <v>25</v>
      </c>
      <c r="C27" s="131" t="s">
        <v>855</v>
      </c>
      <c r="D27" s="131" t="s">
        <v>180</v>
      </c>
      <c r="E27" s="130" t="s">
        <v>201</v>
      </c>
      <c r="F27" s="130" t="s">
        <v>220</v>
      </c>
      <c r="G27" s="130" t="s">
        <v>212</v>
      </c>
      <c r="H27" s="131"/>
      <c r="I27" s="132" t="s">
        <v>183</v>
      </c>
      <c r="J27" s="133">
        <v>666000</v>
      </c>
      <c r="K27" s="134"/>
    </row>
    <row r="28" spans="1:11" s="129" customFormat="1" ht="27.75" customHeight="1">
      <c r="A28" s="135">
        <v>31</v>
      </c>
      <c r="B28" s="135">
        <v>26</v>
      </c>
      <c r="C28" s="136" t="s">
        <v>855</v>
      </c>
      <c r="D28" s="136" t="s">
        <v>180</v>
      </c>
      <c r="E28" s="135" t="s">
        <v>221</v>
      </c>
      <c r="F28" s="135" t="s">
        <v>222</v>
      </c>
      <c r="G28" s="135" t="s">
        <v>223</v>
      </c>
      <c r="H28" s="136"/>
      <c r="I28" s="137" t="s">
        <v>183</v>
      </c>
      <c r="J28" s="138">
        <v>235000</v>
      </c>
      <c r="K28" s="139"/>
    </row>
    <row r="29" spans="1:11" s="129" customFormat="1" ht="27.75" customHeight="1">
      <c r="A29" s="130">
        <v>31</v>
      </c>
      <c r="B29" s="130">
        <v>27</v>
      </c>
      <c r="C29" s="131" t="s">
        <v>855</v>
      </c>
      <c r="D29" s="131" t="s">
        <v>180</v>
      </c>
      <c r="E29" s="130" t="s">
        <v>224</v>
      </c>
      <c r="F29" s="130" t="s">
        <v>225</v>
      </c>
      <c r="G29" s="130" t="s">
        <v>226</v>
      </c>
      <c r="H29" s="131"/>
      <c r="I29" s="132" t="s">
        <v>183</v>
      </c>
      <c r="J29" s="133">
        <v>666000</v>
      </c>
      <c r="K29" s="134"/>
    </row>
    <row r="30" spans="1:11" s="129" customFormat="1" ht="27.75" customHeight="1">
      <c r="A30" s="135">
        <v>31</v>
      </c>
      <c r="B30" s="135">
        <v>28</v>
      </c>
      <c r="C30" s="136" t="s">
        <v>855</v>
      </c>
      <c r="D30" s="136" t="s">
        <v>180</v>
      </c>
      <c r="E30" s="135" t="s">
        <v>205</v>
      </c>
      <c r="F30" s="135" t="s">
        <v>227</v>
      </c>
      <c r="G30" s="135" t="s">
        <v>223</v>
      </c>
      <c r="H30" s="136"/>
      <c r="I30" s="137" t="s">
        <v>183</v>
      </c>
      <c r="J30" s="138">
        <v>666000</v>
      </c>
      <c r="K30" s="139"/>
    </row>
    <row r="31" spans="1:11" s="129" customFormat="1" ht="27.75" customHeight="1">
      <c r="A31" s="130">
        <v>31</v>
      </c>
      <c r="B31" s="130">
        <v>29</v>
      </c>
      <c r="C31" s="131" t="s">
        <v>855</v>
      </c>
      <c r="D31" s="131" t="s">
        <v>180</v>
      </c>
      <c r="E31" s="130" t="s">
        <v>228</v>
      </c>
      <c r="F31" s="130" t="s">
        <v>229</v>
      </c>
      <c r="G31" s="130" t="s">
        <v>230</v>
      </c>
      <c r="H31" s="131"/>
      <c r="I31" s="132" t="s">
        <v>183</v>
      </c>
      <c r="J31" s="133">
        <v>444000</v>
      </c>
      <c r="K31" s="134"/>
    </row>
    <row r="32" spans="1:11" s="129" customFormat="1" ht="27.75" customHeight="1">
      <c r="A32" s="135">
        <v>31</v>
      </c>
      <c r="B32" s="135">
        <v>30</v>
      </c>
      <c r="C32" s="136" t="s">
        <v>855</v>
      </c>
      <c r="D32" s="136" t="s">
        <v>180</v>
      </c>
      <c r="E32" s="135" t="s">
        <v>209</v>
      </c>
      <c r="F32" s="135" t="s">
        <v>231</v>
      </c>
      <c r="G32" s="135" t="s">
        <v>230</v>
      </c>
      <c r="H32" s="136"/>
      <c r="I32" s="137" t="s">
        <v>183</v>
      </c>
      <c r="J32" s="138">
        <v>666000</v>
      </c>
      <c r="K32" s="139"/>
    </row>
    <row r="33" spans="1:11" s="129" customFormat="1" ht="27.75" customHeight="1">
      <c r="A33" s="130">
        <v>31</v>
      </c>
      <c r="B33" s="130">
        <v>31</v>
      </c>
      <c r="C33" s="131" t="s">
        <v>855</v>
      </c>
      <c r="D33" s="131" t="s">
        <v>180</v>
      </c>
      <c r="E33" s="130" t="s">
        <v>205</v>
      </c>
      <c r="F33" s="130" t="s">
        <v>232</v>
      </c>
      <c r="G33" s="130" t="s">
        <v>223</v>
      </c>
      <c r="H33" s="131"/>
      <c r="I33" s="132" t="s">
        <v>183</v>
      </c>
      <c r="J33" s="133">
        <v>666000</v>
      </c>
      <c r="K33" s="134"/>
    </row>
    <row r="34" spans="1:11" s="129" customFormat="1" ht="27.75" customHeight="1">
      <c r="A34" s="135">
        <v>31</v>
      </c>
      <c r="B34" s="135">
        <v>32</v>
      </c>
      <c r="C34" s="136" t="s">
        <v>856</v>
      </c>
      <c r="D34" s="136" t="s">
        <v>180</v>
      </c>
      <c r="E34" s="135" t="s">
        <v>233</v>
      </c>
      <c r="F34" s="135" t="s">
        <v>234</v>
      </c>
      <c r="G34" s="135" t="s">
        <v>223</v>
      </c>
      <c r="H34" s="136"/>
      <c r="I34" s="137" t="s">
        <v>183</v>
      </c>
      <c r="J34" s="138">
        <v>666000</v>
      </c>
      <c r="K34" s="139"/>
    </row>
    <row r="35" spans="1:11" s="129" customFormat="1" ht="27.75" customHeight="1">
      <c r="A35" s="130">
        <v>31</v>
      </c>
      <c r="B35" s="130">
        <v>33</v>
      </c>
      <c r="C35" s="131" t="s">
        <v>855</v>
      </c>
      <c r="D35" s="131" t="s">
        <v>180</v>
      </c>
      <c r="E35" s="130" t="s">
        <v>205</v>
      </c>
      <c r="F35" s="130" t="s">
        <v>235</v>
      </c>
      <c r="G35" s="130" t="s">
        <v>223</v>
      </c>
      <c r="H35" s="131"/>
      <c r="I35" s="140" t="s">
        <v>194</v>
      </c>
      <c r="J35" s="141">
        <v>588000</v>
      </c>
      <c r="K35" s="134" t="s">
        <v>236</v>
      </c>
    </row>
    <row r="36" spans="1:11" s="129" customFormat="1" ht="27.75" customHeight="1">
      <c r="A36" s="135">
        <v>31</v>
      </c>
      <c r="B36" s="135">
        <v>34</v>
      </c>
      <c r="C36" s="136" t="s">
        <v>855</v>
      </c>
      <c r="D36" s="136" t="s">
        <v>180</v>
      </c>
      <c r="E36" s="135" t="s">
        <v>214</v>
      </c>
      <c r="F36" s="135" t="s">
        <v>237</v>
      </c>
      <c r="G36" s="135" t="s">
        <v>226</v>
      </c>
      <c r="H36" s="136"/>
      <c r="I36" s="137" t="s">
        <v>183</v>
      </c>
      <c r="J36" s="138">
        <v>220000</v>
      </c>
      <c r="K36" s="139"/>
    </row>
    <row r="37" spans="1:11" s="129" customFormat="1" ht="27.75" customHeight="1">
      <c r="A37" s="130">
        <v>31</v>
      </c>
      <c r="B37" s="130">
        <v>35</v>
      </c>
      <c r="C37" s="131" t="s">
        <v>855</v>
      </c>
      <c r="D37" s="131" t="s">
        <v>180</v>
      </c>
      <c r="E37" s="130" t="s">
        <v>214</v>
      </c>
      <c r="F37" s="130" t="s">
        <v>238</v>
      </c>
      <c r="G37" s="130" t="s">
        <v>226</v>
      </c>
      <c r="H37" s="131"/>
      <c r="I37" s="132" t="s">
        <v>183</v>
      </c>
      <c r="J37" s="133">
        <v>155000</v>
      </c>
      <c r="K37" s="134"/>
    </row>
    <row r="38" spans="1:11" s="129" customFormat="1" ht="27.75" customHeight="1">
      <c r="A38" s="135">
        <v>31</v>
      </c>
      <c r="B38" s="135">
        <v>36</v>
      </c>
      <c r="C38" s="136" t="s">
        <v>855</v>
      </c>
      <c r="D38" s="136" t="s">
        <v>180</v>
      </c>
      <c r="E38" s="135" t="s">
        <v>214</v>
      </c>
      <c r="F38" s="135" t="s">
        <v>239</v>
      </c>
      <c r="G38" s="135" t="s">
        <v>226</v>
      </c>
      <c r="H38" s="136"/>
      <c r="I38" s="137" t="s">
        <v>183</v>
      </c>
      <c r="J38" s="138">
        <v>187000</v>
      </c>
      <c r="K38" s="139"/>
    </row>
    <row r="39" spans="1:11" s="129" customFormat="1" ht="27.75" customHeight="1">
      <c r="A39" s="130">
        <v>31</v>
      </c>
      <c r="B39" s="130">
        <v>37</v>
      </c>
      <c r="C39" s="131" t="s">
        <v>855</v>
      </c>
      <c r="D39" s="131" t="s">
        <v>180</v>
      </c>
      <c r="E39" s="130" t="s">
        <v>214</v>
      </c>
      <c r="F39" s="130" t="s">
        <v>240</v>
      </c>
      <c r="G39" s="130" t="s">
        <v>241</v>
      </c>
      <c r="H39" s="131"/>
      <c r="I39" s="132" t="s">
        <v>183</v>
      </c>
      <c r="J39" s="133">
        <v>122000</v>
      </c>
      <c r="K39" s="134"/>
    </row>
    <row r="40" spans="1:11" s="129" customFormat="1" ht="27.75" customHeight="1">
      <c r="A40" s="135">
        <v>31</v>
      </c>
      <c r="B40" s="135">
        <v>38</v>
      </c>
      <c r="C40" s="136" t="s">
        <v>855</v>
      </c>
      <c r="D40" s="136" t="s">
        <v>180</v>
      </c>
      <c r="E40" s="135" t="s">
        <v>214</v>
      </c>
      <c r="F40" s="135" t="s">
        <v>242</v>
      </c>
      <c r="G40" s="135" t="s">
        <v>230</v>
      </c>
      <c r="H40" s="136"/>
      <c r="I40" s="137" t="s">
        <v>183</v>
      </c>
      <c r="J40" s="138">
        <v>25000</v>
      </c>
      <c r="K40" s="139"/>
    </row>
    <row r="41" spans="1:11" s="129" customFormat="1" ht="27.75" customHeight="1">
      <c r="A41" s="130">
        <v>31</v>
      </c>
      <c r="B41" s="130">
        <v>39</v>
      </c>
      <c r="C41" s="131" t="s">
        <v>856</v>
      </c>
      <c r="D41" s="131" t="s">
        <v>180</v>
      </c>
      <c r="E41" s="130" t="s">
        <v>185</v>
      </c>
      <c r="F41" s="130" t="s">
        <v>243</v>
      </c>
      <c r="G41" s="130" t="s">
        <v>230</v>
      </c>
      <c r="H41" s="131"/>
      <c r="I41" s="132" t="s">
        <v>183</v>
      </c>
      <c r="J41" s="133">
        <v>407000</v>
      </c>
      <c r="K41" s="134"/>
    </row>
    <row r="42" spans="1:11" s="129" customFormat="1" ht="27.75" customHeight="1">
      <c r="A42" s="135">
        <v>31</v>
      </c>
      <c r="B42" s="135">
        <v>40</v>
      </c>
      <c r="C42" s="136" t="s">
        <v>855</v>
      </c>
      <c r="D42" s="136" t="s">
        <v>180</v>
      </c>
      <c r="E42" s="135" t="s">
        <v>244</v>
      </c>
      <c r="F42" s="135" t="s">
        <v>245</v>
      </c>
      <c r="G42" s="135" t="s">
        <v>246</v>
      </c>
      <c r="H42" s="136"/>
      <c r="I42" s="137" t="s">
        <v>183</v>
      </c>
      <c r="J42" s="138">
        <v>666000</v>
      </c>
      <c r="K42" s="139"/>
    </row>
    <row r="43" spans="1:11" s="129" customFormat="1" ht="27.75" customHeight="1">
      <c r="A43" s="130">
        <v>31</v>
      </c>
      <c r="B43" s="130">
        <v>41</v>
      </c>
      <c r="C43" s="131" t="s">
        <v>855</v>
      </c>
      <c r="D43" s="131" t="s">
        <v>180</v>
      </c>
      <c r="E43" s="130" t="s">
        <v>247</v>
      </c>
      <c r="F43" s="130" t="s">
        <v>248</v>
      </c>
      <c r="G43" s="130" t="s">
        <v>223</v>
      </c>
      <c r="H43" s="131"/>
      <c r="I43" s="132" t="s">
        <v>183</v>
      </c>
      <c r="J43" s="133">
        <v>666000</v>
      </c>
      <c r="K43" s="134"/>
    </row>
    <row r="44" spans="1:11" s="129" customFormat="1" ht="27.75" customHeight="1">
      <c r="A44" s="135">
        <v>31</v>
      </c>
      <c r="B44" s="135">
        <v>42</v>
      </c>
      <c r="C44" s="136" t="s">
        <v>855</v>
      </c>
      <c r="D44" s="136" t="s">
        <v>180</v>
      </c>
      <c r="E44" s="135" t="s">
        <v>199</v>
      </c>
      <c r="F44" s="135" t="s">
        <v>249</v>
      </c>
      <c r="G44" s="135" t="s">
        <v>226</v>
      </c>
      <c r="H44" s="136"/>
      <c r="I44" s="137" t="s">
        <v>183</v>
      </c>
      <c r="J44" s="138">
        <v>666000</v>
      </c>
      <c r="K44" s="139"/>
    </row>
    <row r="45" spans="1:11" s="129" customFormat="1" ht="27.75" customHeight="1">
      <c r="A45" s="130">
        <v>31</v>
      </c>
      <c r="B45" s="130">
        <v>43</v>
      </c>
      <c r="C45" s="131" t="s">
        <v>855</v>
      </c>
      <c r="D45" s="131" t="s">
        <v>180</v>
      </c>
      <c r="E45" s="130" t="s">
        <v>199</v>
      </c>
      <c r="F45" s="130" t="s">
        <v>250</v>
      </c>
      <c r="G45" s="130" t="s">
        <v>226</v>
      </c>
      <c r="H45" s="131"/>
      <c r="I45" s="132" t="s">
        <v>183</v>
      </c>
      <c r="J45" s="133">
        <v>666000</v>
      </c>
      <c r="K45" s="134"/>
    </row>
    <row r="46" spans="1:11" s="129" customFormat="1" ht="27.75" customHeight="1">
      <c r="A46" s="135">
        <v>31</v>
      </c>
      <c r="B46" s="135">
        <v>44</v>
      </c>
      <c r="C46" s="136" t="s">
        <v>855</v>
      </c>
      <c r="D46" s="136" t="s">
        <v>180</v>
      </c>
      <c r="E46" s="135" t="s">
        <v>199</v>
      </c>
      <c r="F46" s="135" t="s">
        <v>251</v>
      </c>
      <c r="G46" s="135" t="s">
        <v>226</v>
      </c>
      <c r="H46" s="136"/>
      <c r="I46" s="137" t="s">
        <v>183</v>
      </c>
      <c r="J46" s="138">
        <v>666000</v>
      </c>
      <c r="K46" s="139"/>
    </row>
    <row r="47" spans="1:11" s="129" customFormat="1" ht="27.75" customHeight="1">
      <c r="A47" s="130">
        <v>31</v>
      </c>
      <c r="B47" s="130">
        <v>45</v>
      </c>
      <c r="C47" s="131" t="s">
        <v>855</v>
      </c>
      <c r="D47" s="131" t="s">
        <v>180</v>
      </c>
      <c r="E47" s="130" t="s">
        <v>199</v>
      </c>
      <c r="F47" s="130" t="s">
        <v>252</v>
      </c>
      <c r="G47" s="130" t="s">
        <v>253</v>
      </c>
      <c r="H47" s="131"/>
      <c r="I47" s="132" t="s">
        <v>183</v>
      </c>
      <c r="J47" s="133">
        <v>666000</v>
      </c>
      <c r="K47" s="134"/>
    </row>
    <row r="48" spans="1:11" s="129" customFormat="1" ht="27.75" customHeight="1">
      <c r="A48" s="135">
        <v>31</v>
      </c>
      <c r="B48" s="135">
        <v>46</v>
      </c>
      <c r="C48" s="136" t="s">
        <v>855</v>
      </c>
      <c r="D48" s="136" t="s">
        <v>180</v>
      </c>
      <c r="E48" s="135" t="s">
        <v>199</v>
      </c>
      <c r="F48" s="135" t="s">
        <v>863</v>
      </c>
      <c r="G48" s="135" t="s">
        <v>226</v>
      </c>
      <c r="H48" s="136"/>
      <c r="I48" s="137" t="s">
        <v>183</v>
      </c>
      <c r="J48" s="138">
        <v>666000</v>
      </c>
      <c r="K48" s="139"/>
    </row>
    <row r="49" spans="1:11" s="129" customFormat="1" ht="27.75" customHeight="1">
      <c r="A49" s="130">
        <v>31</v>
      </c>
      <c r="B49" s="130">
        <v>47</v>
      </c>
      <c r="C49" s="131" t="s">
        <v>855</v>
      </c>
      <c r="D49" s="131" t="s">
        <v>180</v>
      </c>
      <c r="E49" s="130" t="s">
        <v>199</v>
      </c>
      <c r="F49" s="130" t="s">
        <v>864</v>
      </c>
      <c r="G49" s="130" t="s">
        <v>226</v>
      </c>
      <c r="H49" s="131"/>
      <c r="I49" s="132" t="s">
        <v>183</v>
      </c>
      <c r="J49" s="133">
        <v>666000</v>
      </c>
      <c r="K49" s="134"/>
    </row>
    <row r="50" spans="1:11" s="129" customFormat="1" ht="27.75" customHeight="1">
      <c r="A50" s="135">
        <v>31</v>
      </c>
      <c r="B50" s="135">
        <v>48</v>
      </c>
      <c r="C50" s="136" t="s">
        <v>855</v>
      </c>
      <c r="D50" s="136" t="s">
        <v>180</v>
      </c>
      <c r="E50" s="135" t="s">
        <v>199</v>
      </c>
      <c r="F50" s="135" t="s">
        <v>865</v>
      </c>
      <c r="G50" s="135" t="s">
        <v>226</v>
      </c>
      <c r="H50" s="136"/>
      <c r="I50" s="137" t="s">
        <v>183</v>
      </c>
      <c r="J50" s="138">
        <v>666000</v>
      </c>
      <c r="K50" s="139"/>
    </row>
    <row r="51" spans="1:11" s="129" customFormat="1" ht="27.75" customHeight="1">
      <c r="A51" s="130">
        <v>31</v>
      </c>
      <c r="B51" s="130">
        <v>49</v>
      </c>
      <c r="C51" s="131" t="s">
        <v>855</v>
      </c>
      <c r="D51" s="131" t="s">
        <v>180</v>
      </c>
      <c r="E51" s="130" t="s">
        <v>199</v>
      </c>
      <c r="F51" s="130" t="s">
        <v>866</v>
      </c>
      <c r="G51" s="130" t="s">
        <v>226</v>
      </c>
      <c r="H51" s="131"/>
      <c r="I51" s="132" t="s">
        <v>183</v>
      </c>
      <c r="J51" s="133">
        <v>666000</v>
      </c>
      <c r="K51" s="134"/>
    </row>
    <row r="52" spans="1:11" s="129" customFormat="1" ht="27.75" customHeight="1">
      <c r="A52" s="135">
        <v>31</v>
      </c>
      <c r="B52" s="135">
        <v>50</v>
      </c>
      <c r="C52" s="136" t="s">
        <v>855</v>
      </c>
      <c r="D52" s="136" t="s">
        <v>180</v>
      </c>
      <c r="E52" s="135" t="s">
        <v>201</v>
      </c>
      <c r="F52" s="135" t="s">
        <v>254</v>
      </c>
      <c r="G52" s="135" t="s">
        <v>230</v>
      </c>
      <c r="H52" s="136"/>
      <c r="I52" s="137" t="s">
        <v>183</v>
      </c>
      <c r="J52" s="138">
        <v>666000</v>
      </c>
      <c r="K52" s="139"/>
    </row>
    <row r="53" spans="1:11" s="129" customFormat="1" ht="27.75" customHeight="1">
      <c r="A53" s="144">
        <v>31</v>
      </c>
      <c r="B53" s="144">
        <v>51</v>
      </c>
      <c r="C53" s="145" t="s">
        <v>855</v>
      </c>
      <c r="D53" s="145" t="s">
        <v>180</v>
      </c>
      <c r="E53" s="144" t="s">
        <v>205</v>
      </c>
      <c r="F53" s="144" t="s">
        <v>255</v>
      </c>
      <c r="G53" s="144" t="s">
        <v>223</v>
      </c>
      <c r="H53" s="145"/>
      <c r="I53" s="146" t="s">
        <v>194</v>
      </c>
      <c r="J53" s="147">
        <v>637000</v>
      </c>
      <c r="K53" s="148" t="s">
        <v>256</v>
      </c>
    </row>
    <row r="54" spans="1:11" ht="27.75" customHeight="1">
      <c r="J54" s="152">
        <f>SUM(J3:J53)</f>
        <v>25505000</v>
      </c>
    </row>
    <row r="55" spans="1:11" ht="27.75" customHeight="1"/>
  </sheetData>
  <autoFilter ref="A2:K54" xr:uid="{00000000-0009-0000-0000-00000C000000}">
    <filterColumn colId="9">
      <filters>
        <filter val="121,000円"/>
        <filter val="122,000円"/>
        <filter val="144,000円"/>
        <filter val="155,000円"/>
        <filter val="187,000円"/>
        <filter val="220,000円"/>
        <filter val="235,000円"/>
        <filter val="25,000円"/>
        <filter val="25,505,000円"/>
        <filter val="338,000円"/>
        <filter val="343,000円"/>
        <filter val="407,000円"/>
        <filter val="444,000円"/>
        <filter val="446,000円"/>
        <filter val="50,000円"/>
        <filter val="516,000円"/>
        <filter val="517,000円"/>
        <filter val="560,000円"/>
        <filter val="588,000円"/>
        <filter val="615,000円"/>
        <filter val="637,000円"/>
        <filter val="666,000円"/>
      </filters>
    </filterColumn>
  </autoFilter>
  <mergeCells count="1">
    <mergeCell ref="A1:K1"/>
  </mergeCells>
  <phoneticPr fontId="1"/>
  <dataValidations count="2">
    <dataValidation type="list" allowBlank="1" showInputMessage="1" showErrorMessage="1" sqref="I3:I53" xr:uid="{00000000-0002-0000-0C00-000000000000}">
      <formula1>"○,×"</formula1>
    </dataValidation>
    <dataValidation type="list" allowBlank="1" showInputMessage="1" showErrorMessage="1" sqref="H3:H53" xr:uid="{00000000-0002-0000-0C00-000001000000}">
      <formula1>"１位,２位,３位"</formula1>
    </dataValidation>
  </dataValidations>
  <pageMargins left="0.70866141732283472" right="0.70866141732283472" top="0.74803149606299213" bottom="0.74803149606299213" header="0.31496062992125984" footer="0.31496062992125984"/>
  <pageSetup paperSize="8" scale="5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">
    <tabColor rgb="FFFFC000"/>
    <pageSetUpPr fitToPage="1"/>
  </sheetPr>
  <dimension ref="A1:K54"/>
  <sheetViews>
    <sheetView view="pageBreakPreview" topLeftCell="E1" zoomScale="70" zoomScaleNormal="60" zoomScaleSheetLayoutView="70" workbookViewId="0">
      <pane ySplit="2" topLeftCell="A18" activePane="bottomLeft" state="frozen"/>
      <selection activeCell="F46" sqref="F46"/>
      <selection pane="bottomLeft" activeCell="F46" sqref="F46"/>
    </sheetView>
  </sheetViews>
  <sheetFormatPr defaultColWidth="9" defaultRowHeight="13" outlineLevelCol="1"/>
  <cols>
    <col min="1" max="1" width="8.7265625" style="21" customWidth="1"/>
    <col min="2" max="2" width="17.453125" style="21" customWidth="1"/>
    <col min="3" max="3" width="58.90625" style="20" customWidth="1"/>
    <col min="4" max="4" width="32.26953125" style="20" customWidth="1"/>
    <col min="5" max="5" width="47.453125" style="20" customWidth="1"/>
    <col min="6" max="6" width="65.26953125" style="22" customWidth="1"/>
    <col min="7" max="7" width="35.36328125" style="20" customWidth="1"/>
    <col min="8" max="8" width="35.36328125" style="20" customWidth="1" outlineLevel="1"/>
    <col min="9" max="9" width="13.26953125" style="21" customWidth="1"/>
    <col min="10" max="10" width="33.90625" style="20" bestFit="1" customWidth="1"/>
    <col min="11" max="11" width="92" style="20" bestFit="1" customWidth="1"/>
    <col min="12" max="16384" width="9" style="20"/>
  </cols>
  <sheetData>
    <row r="1" spans="1:11" s="18" customFormat="1" ht="66.75" customHeight="1">
      <c r="A1" s="196" t="s">
        <v>624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s="19" customFormat="1" ht="37.5" customHeight="1">
      <c r="A2" s="17" t="s">
        <v>257</v>
      </c>
      <c r="B2" s="17" t="s">
        <v>172</v>
      </c>
      <c r="C2" s="17" t="s">
        <v>173</v>
      </c>
      <c r="D2" s="17" t="s">
        <v>584</v>
      </c>
      <c r="E2" s="17" t="s">
        <v>585</v>
      </c>
      <c r="F2" s="17" t="s">
        <v>174</v>
      </c>
      <c r="G2" s="17" t="s">
        <v>175</v>
      </c>
      <c r="H2" s="17" t="s">
        <v>176</v>
      </c>
      <c r="I2" s="17" t="s">
        <v>177</v>
      </c>
      <c r="J2" s="17" t="s">
        <v>178</v>
      </c>
      <c r="K2" s="17" t="s">
        <v>179</v>
      </c>
    </row>
    <row r="3" spans="1:11" s="19" customFormat="1" ht="27.75" customHeight="1">
      <c r="A3" s="24">
        <v>1</v>
      </c>
      <c r="B3" s="25" t="s">
        <v>180</v>
      </c>
      <c r="C3" s="26" t="s">
        <v>218</v>
      </c>
      <c r="D3" s="26" t="s">
        <v>612</v>
      </c>
      <c r="E3" s="26" t="s">
        <v>458</v>
      </c>
      <c r="F3" s="26" t="s">
        <v>219</v>
      </c>
      <c r="G3" s="26" t="s">
        <v>207</v>
      </c>
      <c r="H3" s="25"/>
      <c r="I3" s="27" t="s">
        <v>183</v>
      </c>
      <c r="J3" s="28">
        <v>121000</v>
      </c>
      <c r="K3" s="28"/>
    </row>
    <row r="4" spans="1:11" s="19" customFormat="1" ht="27.75" customHeight="1">
      <c r="A4" s="24">
        <v>2</v>
      </c>
      <c r="B4" s="25" t="s">
        <v>180</v>
      </c>
      <c r="C4" s="26" t="s">
        <v>224</v>
      </c>
      <c r="D4" s="26" t="s">
        <v>604</v>
      </c>
      <c r="E4" s="26" t="s">
        <v>394</v>
      </c>
      <c r="F4" s="26" t="s">
        <v>225</v>
      </c>
      <c r="G4" s="26" t="s">
        <v>226</v>
      </c>
      <c r="H4" s="25"/>
      <c r="I4" s="27" t="s">
        <v>183</v>
      </c>
      <c r="J4" s="28">
        <v>666000</v>
      </c>
      <c r="K4" s="28"/>
    </row>
    <row r="5" spans="1:11" s="19" customFormat="1" ht="27.75" customHeight="1">
      <c r="A5" s="24">
        <v>3</v>
      </c>
      <c r="B5" s="25" t="s">
        <v>180</v>
      </c>
      <c r="C5" s="26" t="s">
        <v>608</v>
      </c>
      <c r="D5" s="26" t="s">
        <v>605</v>
      </c>
      <c r="E5" s="26" t="s">
        <v>407</v>
      </c>
      <c r="F5" s="26" t="s">
        <v>211</v>
      </c>
      <c r="G5" s="26" t="s">
        <v>212</v>
      </c>
      <c r="H5" s="25"/>
      <c r="I5" s="27" t="s">
        <v>183</v>
      </c>
      <c r="J5" s="28">
        <v>516000</v>
      </c>
      <c r="K5" s="28"/>
    </row>
    <row r="6" spans="1:11" s="19" customFormat="1" ht="27.75" customHeight="1">
      <c r="A6" s="24">
        <v>4</v>
      </c>
      <c r="B6" s="25" t="s">
        <v>180</v>
      </c>
      <c r="C6" s="26" t="s">
        <v>216</v>
      </c>
      <c r="D6" s="26" t="s">
        <v>606</v>
      </c>
      <c r="E6" s="26" t="s">
        <v>437</v>
      </c>
      <c r="F6" s="26" t="s">
        <v>435</v>
      </c>
      <c r="G6" s="26" t="s">
        <v>212</v>
      </c>
      <c r="H6" s="25"/>
      <c r="I6" s="27" t="s">
        <v>183</v>
      </c>
      <c r="J6" s="28">
        <v>144000</v>
      </c>
      <c r="K6" s="28"/>
    </row>
    <row r="7" spans="1:11" s="19" customFormat="1" ht="27.75" customHeight="1">
      <c r="A7" s="24">
        <v>5</v>
      </c>
      <c r="B7" s="25" t="s">
        <v>180</v>
      </c>
      <c r="C7" s="26" t="s">
        <v>607</v>
      </c>
      <c r="D7" s="26" t="s">
        <v>609</v>
      </c>
      <c r="E7" s="26" t="s">
        <v>417</v>
      </c>
      <c r="F7" s="26" t="s">
        <v>213</v>
      </c>
      <c r="G7" s="26" t="s">
        <v>207</v>
      </c>
      <c r="H7" s="25"/>
      <c r="I7" s="27" t="s">
        <v>183</v>
      </c>
      <c r="J7" s="28">
        <v>666000</v>
      </c>
      <c r="K7" s="28"/>
    </row>
    <row r="8" spans="1:11" s="19" customFormat="1" ht="27.75" customHeight="1">
      <c r="A8" s="24">
        <v>6</v>
      </c>
      <c r="B8" s="25" t="s">
        <v>186</v>
      </c>
      <c r="C8" s="26" t="s">
        <v>187</v>
      </c>
      <c r="D8" s="26" t="s">
        <v>610</v>
      </c>
      <c r="E8" s="26" t="s">
        <v>302</v>
      </c>
      <c r="F8" s="26" t="s">
        <v>188</v>
      </c>
      <c r="G8" s="26" t="s">
        <v>189</v>
      </c>
      <c r="H8" s="25"/>
      <c r="I8" s="27" t="s">
        <v>183</v>
      </c>
      <c r="J8" s="28">
        <v>187000</v>
      </c>
      <c r="K8" s="28"/>
    </row>
    <row r="9" spans="1:11" s="19" customFormat="1" ht="27.75" customHeight="1">
      <c r="A9" s="56">
        <v>7</v>
      </c>
      <c r="B9" s="57" t="s">
        <v>180</v>
      </c>
      <c r="C9" s="58" t="s">
        <v>199</v>
      </c>
      <c r="D9" s="58" t="s">
        <v>591</v>
      </c>
      <c r="E9" s="58" t="s">
        <v>357</v>
      </c>
      <c r="F9" s="58" t="s">
        <v>200</v>
      </c>
      <c r="G9" s="58" t="s">
        <v>189</v>
      </c>
      <c r="H9" s="57"/>
      <c r="I9" s="59" t="s">
        <v>183</v>
      </c>
      <c r="J9" s="60">
        <v>666000</v>
      </c>
      <c r="K9" s="60"/>
    </row>
    <row r="10" spans="1:11" s="19" customFormat="1" ht="27.75" customHeight="1">
      <c r="A10" s="56">
        <v>8</v>
      </c>
      <c r="B10" s="57" t="s">
        <v>180</v>
      </c>
      <c r="C10" s="58" t="s">
        <v>199</v>
      </c>
      <c r="D10" s="58" t="s">
        <v>591</v>
      </c>
      <c r="E10" s="58" t="s">
        <v>357</v>
      </c>
      <c r="F10" s="58" t="s">
        <v>203</v>
      </c>
      <c r="G10" s="58" t="s">
        <v>189</v>
      </c>
      <c r="H10" s="57"/>
      <c r="I10" s="59" t="s">
        <v>183</v>
      </c>
      <c r="J10" s="60">
        <v>666000</v>
      </c>
      <c r="K10" s="60"/>
    </row>
    <row r="11" spans="1:11" s="19" customFormat="1" ht="27.75" customHeight="1">
      <c r="A11" s="56">
        <v>9</v>
      </c>
      <c r="B11" s="57" t="s">
        <v>180</v>
      </c>
      <c r="C11" s="58" t="s">
        <v>199</v>
      </c>
      <c r="D11" s="58" t="s">
        <v>591</v>
      </c>
      <c r="E11" s="58" t="s">
        <v>357</v>
      </c>
      <c r="F11" s="58" t="s">
        <v>204</v>
      </c>
      <c r="G11" s="58" t="s">
        <v>189</v>
      </c>
      <c r="H11" s="57"/>
      <c r="I11" s="59" t="s">
        <v>183</v>
      </c>
      <c r="J11" s="60">
        <v>666000</v>
      </c>
      <c r="K11" s="60"/>
    </row>
    <row r="12" spans="1:11" s="19" customFormat="1" ht="27.75" customHeight="1">
      <c r="A12" s="56">
        <v>10</v>
      </c>
      <c r="B12" s="57" t="s">
        <v>180</v>
      </c>
      <c r="C12" s="58" t="s">
        <v>199</v>
      </c>
      <c r="D12" s="58" t="s">
        <v>591</v>
      </c>
      <c r="E12" s="58" t="s">
        <v>357</v>
      </c>
      <c r="F12" s="58" t="s">
        <v>249</v>
      </c>
      <c r="G12" s="58" t="s">
        <v>226</v>
      </c>
      <c r="H12" s="57"/>
      <c r="I12" s="59" t="s">
        <v>183</v>
      </c>
      <c r="J12" s="60">
        <v>666000</v>
      </c>
      <c r="K12" s="60"/>
    </row>
    <row r="13" spans="1:11" s="19" customFormat="1" ht="27.75" customHeight="1">
      <c r="A13" s="56">
        <v>11</v>
      </c>
      <c r="B13" s="57" t="s">
        <v>180</v>
      </c>
      <c r="C13" s="58" t="s">
        <v>199</v>
      </c>
      <c r="D13" s="58" t="s">
        <v>591</v>
      </c>
      <c r="E13" s="58" t="s">
        <v>357</v>
      </c>
      <c r="F13" s="58" t="s">
        <v>250</v>
      </c>
      <c r="G13" s="58" t="s">
        <v>226</v>
      </c>
      <c r="H13" s="57"/>
      <c r="I13" s="59" t="s">
        <v>183</v>
      </c>
      <c r="J13" s="60">
        <v>666000</v>
      </c>
      <c r="K13" s="60"/>
    </row>
    <row r="14" spans="1:11" s="19" customFormat="1" ht="27.75" customHeight="1">
      <c r="A14" s="56">
        <v>12</v>
      </c>
      <c r="B14" s="57" t="s">
        <v>180</v>
      </c>
      <c r="C14" s="58" t="s">
        <v>199</v>
      </c>
      <c r="D14" s="58" t="s">
        <v>591</v>
      </c>
      <c r="E14" s="58" t="s">
        <v>357</v>
      </c>
      <c r="F14" s="58" t="s">
        <v>251</v>
      </c>
      <c r="G14" s="58" t="s">
        <v>226</v>
      </c>
      <c r="H14" s="57"/>
      <c r="I14" s="59" t="s">
        <v>183</v>
      </c>
      <c r="J14" s="60">
        <v>666000</v>
      </c>
      <c r="K14" s="60"/>
    </row>
    <row r="15" spans="1:11" s="19" customFormat="1" ht="27.75" customHeight="1">
      <c r="A15" s="56">
        <v>13</v>
      </c>
      <c r="B15" s="57" t="s">
        <v>180</v>
      </c>
      <c r="C15" s="58" t="s">
        <v>199</v>
      </c>
      <c r="D15" s="58" t="s">
        <v>591</v>
      </c>
      <c r="E15" s="58" t="s">
        <v>357</v>
      </c>
      <c r="F15" s="58" t="s">
        <v>252</v>
      </c>
      <c r="G15" s="58" t="s">
        <v>253</v>
      </c>
      <c r="H15" s="57"/>
      <c r="I15" s="59" t="s">
        <v>183</v>
      </c>
      <c r="J15" s="60">
        <v>666000</v>
      </c>
      <c r="K15" s="60"/>
    </row>
    <row r="16" spans="1:11" s="19" customFormat="1" ht="27.75" customHeight="1">
      <c r="A16" s="56">
        <v>14</v>
      </c>
      <c r="B16" s="57" t="s">
        <v>180</v>
      </c>
      <c r="C16" s="58" t="s">
        <v>199</v>
      </c>
      <c r="D16" s="58" t="s">
        <v>591</v>
      </c>
      <c r="E16" s="58" t="s">
        <v>357</v>
      </c>
      <c r="F16" s="58" t="s">
        <v>586</v>
      </c>
      <c r="G16" s="58" t="s">
        <v>226</v>
      </c>
      <c r="H16" s="57"/>
      <c r="I16" s="59" t="s">
        <v>183</v>
      </c>
      <c r="J16" s="60">
        <v>666000</v>
      </c>
      <c r="K16" s="60"/>
    </row>
    <row r="17" spans="1:11" s="19" customFormat="1" ht="27.75" customHeight="1">
      <c r="A17" s="56">
        <v>15</v>
      </c>
      <c r="B17" s="57" t="s">
        <v>180</v>
      </c>
      <c r="C17" s="58" t="s">
        <v>199</v>
      </c>
      <c r="D17" s="58" t="s">
        <v>591</v>
      </c>
      <c r="E17" s="58" t="s">
        <v>357</v>
      </c>
      <c r="F17" s="58" t="s">
        <v>587</v>
      </c>
      <c r="G17" s="58" t="s">
        <v>226</v>
      </c>
      <c r="H17" s="57"/>
      <c r="I17" s="59" t="s">
        <v>183</v>
      </c>
      <c r="J17" s="60">
        <v>666000</v>
      </c>
      <c r="K17" s="60"/>
    </row>
    <row r="18" spans="1:11" s="19" customFormat="1" ht="27.75" customHeight="1">
      <c r="A18" s="56">
        <v>16</v>
      </c>
      <c r="B18" s="57" t="s">
        <v>180</v>
      </c>
      <c r="C18" s="58" t="s">
        <v>199</v>
      </c>
      <c r="D18" s="58" t="s">
        <v>591</v>
      </c>
      <c r="E18" s="58" t="s">
        <v>357</v>
      </c>
      <c r="F18" s="58" t="s">
        <v>588</v>
      </c>
      <c r="G18" s="58" t="s">
        <v>226</v>
      </c>
      <c r="H18" s="57"/>
      <c r="I18" s="59" t="s">
        <v>183</v>
      </c>
      <c r="J18" s="60">
        <v>666000</v>
      </c>
      <c r="K18" s="60"/>
    </row>
    <row r="19" spans="1:11" s="19" customFormat="1" ht="27.75" customHeight="1">
      <c r="A19" s="56">
        <v>17</v>
      </c>
      <c r="B19" s="57" t="s">
        <v>180</v>
      </c>
      <c r="C19" s="58" t="s">
        <v>199</v>
      </c>
      <c r="D19" s="58" t="s">
        <v>591</v>
      </c>
      <c r="E19" s="58" t="s">
        <v>357</v>
      </c>
      <c r="F19" s="58" t="s">
        <v>590</v>
      </c>
      <c r="G19" s="58" t="s">
        <v>226</v>
      </c>
      <c r="H19" s="57"/>
      <c r="I19" s="59" t="s">
        <v>183</v>
      </c>
      <c r="J19" s="60">
        <v>666000</v>
      </c>
      <c r="K19" s="60"/>
    </row>
    <row r="20" spans="1:11" s="19" customFormat="1" ht="27.75" customHeight="1">
      <c r="A20" s="24">
        <v>18</v>
      </c>
      <c r="B20" s="25" t="s">
        <v>180</v>
      </c>
      <c r="C20" s="26" t="s">
        <v>228</v>
      </c>
      <c r="D20" s="26" t="s">
        <v>611</v>
      </c>
      <c r="E20" s="26" t="s">
        <v>414</v>
      </c>
      <c r="F20" s="26" t="s">
        <v>229</v>
      </c>
      <c r="G20" s="26" t="s">
        <v>230</v>
      </c>
      <c r="H20" s="25"/>
      <c r="I20" s="27" t="s">
        <v>183</v>
      </c>
      <c r="J20" s="28">
        <v>444000</v>
      </c>
      <c r="K20" s="28"/>
    </row>
    <row r="21" spans="1:11" s="19" customFormat="1" ht="27.75" customHeight="1">
      <c r="A21" s="24">
        <v>19</v>
      </c>
      <c r="B21" s="25" t="s">
        <v>180</v>
      </c>
      <c r="C21" s="26" t="s">
        <v>201</v>
      </c>
      <c r="D21" s="26" t="s">
        <v>592</v>
      </c>
      <c r="E21" s="26" t="s">
        <v>364</v>
      </c>
      <c r="F21" s="26" t="s">
        <v>202</v>
      </c>
      <c r="G21" s="26" t="s">
        <v>75</v>
      </c>
      <c r="H21" s="25"/>
      <c r="I21" s="27" t="s">
        <v>183</v>
      </c>
      <c r="J21" s="28">
        <v>666000</v>
      </c>
      <c r="K21" s="28"/>
    </row>
    <row r="22" spans="1:11" s="19" customFormat="1" ht="27.75" customHeight="1">
      <c r="A22" s="24">
        <v>20</v>
      </c>
      <c r="B22" s="25" t="s">
        <v>180</v>
      </c>
      <c r="C22" s="26" t="s">
        <v>201</v>
      </c>
      <c r="D22" s="26" t="s">
        <v>592</v>
      </c>
      <c r="E22" s="26" t="s">
        <v>464</v>
      </c>
      <c r="F22" s="26" t="s">
        <v>220</v>
      </c>
      <c r="G22" s="26" t="s">
        <v>212</v>
      </c>
      <c r="H22" s="25"/>
      <c r="I22" s="27" t="s">
        <v>183</v>
      </c>
      <c r="J22" s="28">
        <v>666000</v>
      </c>
      <c r="K22" s="28"/>
    </row>
    <row r="23" spans="1:11" s="19" customFormat="1" ht="27.75" customHeight="1">
      <c r="A23" s="24">
        <v>21</v>
      </c>
      <c r="B23" s="25" t="s">
        <v>180</v>
      </c>
      <c r="C23" s="26" t="s">
        <v>201</v>
      </c>
      <c r="D23" s="26" t="s">
        <v>592</v>
      </c>
      <c r="E23" s="26" t="s">
        <v>364</v>
      </c>
      <c r="F23" s="26" t="s">
        <v>254</v>
      </c>
      <c r="G23" s="26" t="s">
        <v>230</v>
      </c>
      <c r="H23" s="25"/>
      <c r="I23" s="27" t="s">
        <v>183</v>
      </c>
      <c r="J23" s="28">
        <v>666000</v>
      </c>
      <c r="K23" s="28"/>
    </row>
    <row r="24" spans="1:11" s="19" customFormat="1" ht="27.75" customHeight="1">
      <c r="A24" s="24">
        <v>22</v>
      </c>
      <c r="B24" s="25" t="s">
        <v>180</v>
      </c>
      <c r="C24" s="26" t="s">
        <v>221</v>
      </c>
      <c r="D24" s="26" t="s">
        <v>593</v>
      </c>
      <c r="E24" s="26" t="s">
        <v>382</v>
      </c>
      <c r="F24" s="26" t="s">
        <v>222</v>
      </c>
      <c r="G24" s="26" t="s">
        <v>223</v>
      </c>
      <c r="H24" s="25"/>
      <c r="I24" s="27" t="s">
        <v>183</v>
      </c>
      <c r="J24" s="28">
        <v>235000</v>
      </c>
      <c r="K24" s="28"/>
    </row>
    <row r="25" spans="1:11" s="19" customFormat="1" ht="27.75" customHeight="1">
      <c r="A25" s="42">
        <v>23</v>
      </c>
      <c r="B25" s="43" t="s">
        <v>180</v>
      </c>
      <c r="C25" s="39" t="s">
        <v>260</v>
      </c>
      <c r="D25" s="39" t="s">
        <v>594</v>
      </c>
      <c r="E25" s="39" t="s">
        <v>385</v>
      </c>
      <c r="F25" s="39" t="s">
        <v>206</v>
      </c>
      <c r="G25" s="39" t="s">
        <v>207</v>
      </c>
      <c r="H25" s="43"/>
      <c r="I25" s="44" t="s">
        <v>194</v>
      </c>
      <c r="J25" s="45">
        <v>343000</v>
      </c>
      <c r="K25" s="46" t="s">
        <v>208</v>
      </c>
    </row>
    <row r="26" spans="1:11" s="19" customFormat="1" ht="27.75" customHeight="1">
      <c r="A26" s="42">
        <v>24</v>
      </c>
      <c r="B26" s="43" t="s">
        <v>180</v>
      </c>
      <c r="C26" s="39" t="s">
        <v>260</v>
      </c>
      <c r="D26" s="39" t="s">
        <v>594</v>
      </c>
      <c r="E26" s="39" t="s">
        <v>396</v>
      </c>
      <c r="F26" s="39" t="s">
        <v>210</v>
      </c>
      <c r="G26" s="39" t="s">
        <v>207</v>
      </c>
      <c r="H26" s="43"/>
      <c r="I26" s="44" t="s">
        <v>183</v>
      </c>
      <c r="J26" s="46">
        <v>666000</v>
      </c>
      <c r="K26" s="46"/>
    </row>
    <row r="27" spans="1:11" s="19" customFormat="1" ht="27.75" customHeight="1">
      <c r="A27" s="42">
        <v>25</v>
      </c>
      <c r="B27" s="43" t="s">
        <v>180</v>
      </c>
      <c r="C27" s="39" t="s">
        <v>260</v>
      </c>
      <c r="D27" s="39" t="s">
        <v>594</v>
      </c>
      <c r="E27" s="39" t="s">
        <v>447</v>
      </c>
      <c r="F27" s="39" t="s">
        <v>217</v>
      </c>
      <c r="G27" s="39" t="s">
        <v>212</v>
      </c>
      <c r="H27" s="43"/>
      <c r="I27" s="44" t="s">
        <v>183</v>
      </c>
      <c r="J27" s="46">
        <v>615000</v>
      </c>
      <c r="K27" s="46"/>
    </row>
    <row r="28" spans="1:11" s="19" customFormat="1" ht="27.75" customHeight="1">
      <c r="A28" s="42">
        <v>26</v>
      </c>
      <c r="B28" s="43" t="s">
        <v>180</v>
      </c>
      <c r="C28" s="39" t="s">
        <v>260</v>
      </c>
      <c r="D28" s="39" t="s">
        <v>594</v>
      </c>
      <c r="E28" s="39" t="s">
        <v>404</v>
      </c>
      <c r="F28" s="39" t="s">
        <v>227</v>
      </c>
      <c r="G28" s="39" t="s">
        <v>223</v>
      </c>
      <c r="H28" s="43"/>
      <c r="I28" s="44" t="s">
        <v>183</v>
      </c>
      <c r="J28" s="46">
        <v>666000</v>
      </c>
      <c r="K28" s="46"/>
    </row>
    <row r="29" spans="1:11" s="19" customFormat="1" ht="27.75" customHeight="1">
      <c r="A29" s="42">
        <v>27</v>
      </c>
      <c r="B29" s="43" t="s">
        <v>180</v>
      </c>
      <c r="C29" s="39" t="s">
        <v>260</v>
      </c>
      <c r="D29" s="39" t="s">
        <v>594</v>
      </c>
      <c r="E29" s="39" t="s">
        <v>396</v>
      </c>
      <c r="F29" s="39" t="s">
        <v>231</v>
      </c>
      <c r="G29" s="39" t="s">
        <v>230</v>
      </c>
      <c r="H29" s="43"/>
      <c r="I29" s="44" t="s">
        <v>183</v>
      </c>
      <c r="J29" s="46">
        <v>666000</v>
      </c>
      <c r="K29" s="46"/>
    </row>
    <row r="30" spans="1:11" s="19" customFormat="1" ht="27.75" customHeight="1">
      <c r="A30" s="42">
        <v>28</v>
      </c>
      <c r="B30" s="43" t="s">
        <v>180</v>
      </c>
      <c r="C30" s="39" t="s">
        <v>260</v>
      </c>
      <c r="D30" s="39" t="s">
        <v>594</v>
      </c>
      <c r="E30" s="39" t="s">
        <v>434</v>
      </c>
      <c r="F30" s="39" t="s">
        <v>232</v>
      </c>
      <c r="G30" s="39" t="s">
        <v>223</v>
      </c>
      <c r="H30" s="43"/>
      <c r="I30" s="44" t="s">
        <v>183</v>
      </c>
      <c r="J30" s="46">
        <v>666000</v>
      </c>
      <c r="K30" s="46"/>
    </row>
    <row r="31" spans="1:11" s="19" customFormat="1" ht="27.75" customHeight="1">
      <c r="A31" s="42">
        <v>29</v>
      </c>
      <c r="B31" s="43" t="s">
        <v>180</v>
      </c>
      <c r="C31" s="39" t="s">
        <v>260</v>
      </c>
      <c r="D31" s="39" t="s">
        <v>594</v>
      </c>
      <c r="E31" s="39" t="s">
        <v>456</v>
      </c>
      <c r="F31" s="39" t="s">
        <v>235</v>
      </c>
      <c r="G31" s="39" t="s">
        <v>223</v>
      </c>
      <c r="H31" s="43"/>
      <c r="I31" s="44" t="s">
        <v>194</v>
      </c>
      <c r="J31" s="45">
        <v>588000</v>
      </c>
      <c r="K31" s="46" t="s">
        <v>236</v>
      </c>
    </row>
    <row r="32" spans="1:11" s="19" customFormat="1" ht="27.75" customHeight="1">
      <c r="A32" s="42">
        <v>30</v>
      </c>
      <c r="B32" s="43" t="s">
        <v>180</v>
      </c>
      <c r="C32" s="39" t="s">
        <v>260</v>
      </c>
      <c r="D32" s="39" t="s">
        <v>594</v>
      </c>
      <c r="E32" s="39" t="s">
        <v>579</v>
      </c>
      <c r="F32" s="39" t="s">
        <v>255</v>
      </c>
      <c r="G32" s="39" t="s">
        <v>223</v>
      </c>
      <c r="H32" s="43"/>
      <c r="I32" s="44" t="s">
        <v>194</v>
      </c>
      <c r="J32" s="46">
        <v>637000</v>
      </c>
      <c r="K32" s="46" t="s">
        <v>256</v>
      </c>
    </row>
    <row r="33" spans="1:11" s="19" customFormat="1" ht="27.75" customHeight="1">
      <c r="A33" s="24">
        <v>31</v>
      </c>
      <c r="B33" s="25" t="s">
        <v>180</v>
      </c>
      <c r="C33" s="26" t="s">
        <v>261</v>
      </c>
      <c r="D33" s="26" t="s">
        <v>602</v>
      </c>
      <c r="E33" s="26" t="s">
        <v>445</v>
      </c>
      <c r="F33" s="26" t="s">
        <v>234</v>
      </c>
      <c r="G33" s="26" t="s">
        <v>223</v>
      </c>
      <c r="H33" s="25"/>
      <c r="I33" s="27" t="s">
        <v>183</v>
      </c>
      <c r="J33" s="28">
        <v>666000</v>
      </c>
      <c r="K33" s="28"/>
    </row>
    <row r="34" spans="1:11" s="19" customFormat="1" ht="27.75" customHeight="1">
      <c r="A34" s="24">
        <v>32</v>
      </c>
      <c r="B34" s="25" t="s">
        <v>180</v>
      </c>
      <c r="C34" s="26" t="s">
        <v>244</v>
      </c>
      <c r="D34" s="26" t="s">
        <v>603</v>
      </c>
      <c r="E34" s="26" t="s">
        <v>503</v>
      </c>
      <c r="F34" s="26" t="s">
        <v>245</v>
      </c>
      <c r="G34" s="26" t="s">
        <v>246</v>
      </c>
      <c r="H34" s="25"/>
      <c r="I34" s="27" t="s">
        <v>183</v>
      </c>
      <c r="J34" s="28">
        <v>666000</v>
      </c>
      <c r="K34" s="28"/>
    </row>
    <row r="35" spans="1:11" s="19" customFormat="1" ht="27.75" customHeight="1">
      <c r="A35" s="61">
        <v>33</v>
      </c>
      <c r="B35" s="62" t="s">
        <v>186</v>
      </c>
      <c r="C35" s="40" t="s">
        <v>190</v>
      </c>
      <c r="D35" s="40" t="s">
        <v>601</v>
      </c>
      <c r="E35" s="40" t="s">
        <v>310</v>
      </c>
      <c r="F35" s="40" t="s">
        <v>191</v>
      </c>
      <c r="G35" s="40" t="s">
        <v>75</v>
      </c>
      <c r="H35" s="62"/>
      <c r="I35" s="63" t="s">
        <v>183</v>
      </c>
      <c r="J35" s="64">
        <v>666000</v>
      </c>
      <c r="K35" s="64"/>
    </row>
    <row r="36" spans="1:11" s="19" customFormat="1" ht="27.75" customHeight="1">
      <c r="A36" s="61">
        <v>34</v>
      </c>
      <c r="B36" s="62" t="s">
        <v>180</v>
      </c>
      <c r="C36" s="40" t="s">
        <v>190</v>
      </c>
      <c r="D36" s="40" t="s">
        <v>601</v>
      </c>
      <c r="E36" s="40" t="s">
        <v>341</v>
      </c>
      <c r="F36" s="40" t="s">
        <v>198</v>
      </c>
      <c r="G36" s="40" t="s">
        <v>75</v>
      </c>
      <c r="H36" s="62"/>
      <c r="I36" s="63" t="s">
        <v>183</v>
      </c>
      <c r="J36" s="64">
        <v>338000</v>
      </c>
      <c r="K36" s="64"/>
    </row>
    <row r="37" spans="1:11" s="19" customFormat="1" ht="27.75" customHeight="1">
      <c r="A37" s="47">
        <v>35</v>
      </c>
      <c r="B37" s="48" t="s">
        <v>180</v>
      </c>
      <c r="C37" s="41" t="s">
        <v>185</v>
      </c>
      <c r="D37" s="41" t="s">
        <v>598</v>
      </c>
      <c r="E37" s="41" t="s">
        <v>295</v>
      </c>
      <c r="F37" s="41" t="s">
        <v>259</v>
      </c>
      <c r="G37" s="41" t="s">
        <v>75</v>
      </c>
      <c r="H37" s="48"/>
      <c r="I37" s="49" t="s">
        <v>183</v>
      </c>
      <c r="J37" s="50">
        <v>666000</v>
      </c>
      <c r="K37" s="50"/>
    </row>
    <row r="38" spans="1:11" s="19" customFormat="1" ht="27.75" customHeight="1">
      <c r="A38" s="47">
        <v>36</v>
      </c>
      <c r="B38" s="48" t="s">
        <v>180</v>
      </c>
      <c r="C38" s="41" t="s">
        <v>185</v>
      </c>
      <c r="D38" s="41" t="s">
        <v>598</v>
      </c>
      <c r="E38" s="41" t="s">
        <v>295</v>
      </c>
      <c r="F38" s="41" t="s">
        <v>196</v>
      </c>
      <c r="G38" s="41" t="s">
        <v>189</v>
      </c>
      <c r="H38" s="48"/>
      <c r="I38" s="49" t="s">
        <v>183</v>
      </c>
      <c r="J38" s="50">
        <v>666000</v>
      </c>
      <c r="K38" s="50"/>
    </row>
    <row r="39" spans="1:11" s="19" customFormat="1" ht="27.75" customHeight="1">
      <c r="A39" s="47">
        <v>37</v>
      </c>
      <c r="B39" s="48" t="s">
        <v>180</v>
      </c>
      <c r="C39" s="41" t="s">
        <v>185</v>
      </c>
      <c r="D39" s="41" t="s">
        <v>598</v>
      </c>
      <c r="E39" s="41" t="s">
        <v>295</v>
      </c>
      <c r="F39" s="41" t="s">
        <v>197</v>
      </c>
      <c r="G39" s="41" t="s">
        <v>75</v>
      </c>
      <c r="H39" s="48"/>
      <c r="I39" s="49" t="s">
        <v>183</v>
      </c>
      <c r="J39" s="50">
        <v>666000</v>
      </c>
      <c r="K39" s="50"/>
    </row>
    <row r="40" spans="1:11" s="19" customFormat="1" ht="27.75" customHeight="1">
      <c r="A40" s="47">
        <v>38</v>
      </c>
      <c r="B40" s="48" t="s">
        <v>180</v>
      </c>
      <c r="C40" s="41" t="s">
        <v>185</v>
      </c>
      <c r="D40" s="41" t="s">
        <v>598</v>
      </c>
      <c r="E40" s="41" t="s">
        <v>295</v>
      </c>
      <c r="F40" s="41" t="s">
        <v>243</v>
      </c>
      <c r="G40" s="41" t="s">
        <v>230</v>
      </c>
      <c r="H40" s="48"/>
      <c r="I40" s="49" t="s">
        <v>183</v>
      </c>
      <c r="J40" s="50">
        <v>407000</v>
      </c>
      <c r="K40" s="50"/>
    </row>
    <row r="41" spans="1:11" s="19" customFormat="1" ht="27.75" customHeight="1">
      <c r="A41" s="24">
        <v>39</v>
      </c>
      <c r="B41" s="25" t="s">
        <v>180</v>
      </c>
      <c r="C41" s="26" t="s">
        <v>247</v>
      </c>
      <c r="D41" s="26" t="s">
        <v>599</v>
      </c>
      <c r="E41" s="26" t="s">
        <v>511</v>
      </c>
      <c r="F41" s="26" t="s">
        <v>248</v>
      </c>
      <c r="G41" s="26" t="s">
        <v>223</v>
      </c>
      <c r="H41" s="25"/>
      <c r="I41" s="27" t="s">
        <v>183</v>
      </c>
      <c r="J41" s="28">
        <v>666000</v>
      </c>
      <c r="K41" s="28"/>
    </row>
    <row r="42" spans="1:11" s="19" customFormat="1" ht="27.75" customHeight="1">
      <c r="A42" s="24">
        <v>40</v>
      </c>
      <c r="B42" s="25" t="s">
        <v>180</v>
      </c>
      <c r="C42" s="26" t="s">
        <v>113</v>
      </c>
      <c r="D42" s="26" t="s">
        <v>596</v>
      </c>
      <c r="E42" s="26" t="s">
        <v>116</v>
      </c>
      <c r="F42" s="26" t="s">
        <v>117</v>
      </c>
      <c r="G42" s="26" t="s">
        <v>110</v>
      </c>
      <c r="H42" s="25"/>
      <c r="I42" s="27" t="s">
        <v>183</v>
      </c>
      <c r="J42" s="28">
        <v>517000</v>
      </c>
      <c r="K42" s="28"/>
    </row>
    <row r="43" spans="1:11" s="19" customFormat="1" ht="27.75" customHeight="1">
      <c r="A43" s="24">
        <v>41</v>
      </c>
      <c r="B43" s="25" t="s">
        <v>180</v>
      </c>
      <c r="C43" s="26" t="s">
        <v>113</v>
      </c>
      <c r="D43" s="26" t="s">
        <v>596</v>
      </c>
      <c r="E43" s="26" t="s">
        <v>116</v>
      </c>
      <c r="F43" s="26" t="s">
        <v>184</v>
      </c>
      <c r="G43" s="26" t="s">
        <v>75</v>
      </c>
      <c r="H43" s="25"/>
      <c r="I43" s="27" t="s">
        <v>183</v>
      </c>
      <c r="J43" s="28">
        <v>666000</v>
      </c>
      <c r="K43" s="28"/>
    </row>
    <row r="44" spans="1:11" s="19" customFormat="1" ht="27.75" customHeight="1">
      <c r="A44" s="24">
        <v>42</v>
      </c>
      <c r="B44" s="25" t="s">
        <v>180</v>
      </c>
      <c r="C44" s="26" t="s">
        <v>113</v>
      </c>
      <c r="D44" s="26" t="s">
        <v>597</v>
      </c>
      <c r="E44" s="26" t="s">
        <v>350</v>
      </c>
      <c r="F44" s="26" t="s">
        <v>589</v>
      </c>
      <c r="G44" s="26" t="s">
        <v>189</v>
      </c>
      <c r="H44" s="25"/>
      <c r="I44" s="27" t="s">
        <v>183</v>
      </c>
      <c r="J44" s="28">
        <v>446000</v>
      </c>
      <c r="K44" s="28"/>
    </row>
    <row r="45" spans="1:11" s="19" customFormat="1" ht="27.75" customHeight="1">
      <c r="A45" s="51">
        <v>43</v>
      </c>
      <c r="B45" s="52" t="s">
        <v>180</v>
      </c>
      <c r="C45" s="53" t="s">
        <v>214</v>
      </c>
      <c r="D45" s="53" t="s">
        <v>595</v>
      </c>
      <c r="E45" s="53" t="s">
        <v>426</v>
      </c>
      <c r="F45" s="53" t="s">
        <v>215</v>
      </c>
      <c r="G45" s="53" t="s">
        <v>212</v>
      </c>
      <c r="H45" s="52"/>
      <c r="I45" s="54" t="s">
        <v>183</v>
      </c>
      <c r="J45" s="55">
        <v>50000</v>
      </c>
      <c r="K45" s="55"/>
    </row>
    <row r="46" spans="1:11" s="19" customFormat="1" ht="27.75" customHeight="1">
      <c r="A46" s="51">
        <v>44</v>
      </c>
      <c r="B46" s="52" t="s">
        <v>180</v>
      </c>
      <c r="C46" s="53" t="s">
        <v>214</v>
      </c>
      <c r="D46" s="53" t="s">
        <v>595</v>
      </c>
      <c r="E46" s="53" t="s">
        <v>426</v>
      </c>
      <c r="F46" s="53" t="s">
        <v>237</v>
      </c>
      <c r="G46" s="53" t="s">
        <v>226</v>
      </c>
      <c r="H46" s="52"/>
      <c r="I46" s="54" t="s">
        <v>183</v>
      </c>
      <c r="J46" s="55">
        <v>220000</v>
      </c>
      <c r="K46" s="55"/>
    </row>
    <row r="47" spans="1:11" s="19" customFormat="1" ht="27.75" customHeight="1">
      <c r="A47" s="51">
        <v>45</v>
      </c>
      <c r="B47" s="52" t="s">
        <v>180</v>
      </c>
      <c r="C47" s="53" t="s">
        <v>214</v>
      </c>
      <c r="D47" s="53" t="s">
        <v>595</v>
      </c>
      <c r="E47" s="53" t="s">
        <v>426</v>
      </c>
      <c r="F47" s="53" t="s">
        <v>238</v>
      </c>
      <c r="G47" s="53" t="s">
        <v>226</v>
      </c>
      <c r="H47" s="52"/>
      <c r="I47" s="54" t="s">
        <v>183</v>
      </c>
      <c r="J47" s="55">
        <v>155000</v>
      </c>
      <c r="K47" s="55"/>
    </row>
    <row r="48" spans="1:11" s="19" customFormat="1" ht="27.75" customHeight="1">
      <c r="A48" s="51">
        <v>46</v>
      </c>
      <c r="B48" s="52" t="s">
        <v>180</v>
      </c>
      <c r="C48" s="53" t="s">
        <v>214</v>
      </c>
      <c r="D48" s="53" t="s">
        <v>595</v>
      </c>
      <c r="E48" s="53" t="s">
        <v>426</v>
      </c>
      <c r="F48" s="53" t="s">
        <v>239</v>
      </c>
      <c r="G48" s="53" t="s">
        <v>226</v>
      </c>
      <c r="H48" s="52"/>
      <c r="I48" s="54" t="s">
        <v>183</v>
      </c>
      <c r="J48" s="55">
        <v>187000</v>
      </c>
      <c r="K48" s="55"/>
    </row>
    <row r="49" spans="1:11" s="19" customFormat="1" ht="27.75" customHeight="1">
      <c r="A49" s="51">
        <v>47</v>
      </c>
      <c r="B49" s="52" t="s">
        <v>180</v>
      </c>
      <c r="C49" s="53" t="s">
        <v>214</v>
      </c>
      <c r="D49" s="53" t="s">
        <v>595</v>
      </c>
      <c r="E49" s="53" t="s">
        <v>426</v>
      </c>
      <c r="F49" s="53" t="s">
        <v>240</v>
      </c>
      <c r="G49" s="53" t="s">
        <v>241</v>
      </c>
      <c r="H49" s="52"/>
      <c r="I49" s="54" t="s">
        <v>183</v>
      </c>
      <c r="J49" s="55">
        <v>122000</v>
      </c>
      <c r="K49" s="55"/>
    </row>
    <row r="50" spans="1:11" s="19" customFormat="1" ht="27.75" customHeight="1">
      <c r="A50" s="51">
        <v>48</v>
      </c>
      <c r="B50" s="52" t="s">
        <v>180</v>
      </c>
      <c r="C50" s="53" t="s">
        <v>214</v>
      </c>
      <c r="D50" s="53" t="s">
        <v>595</v>
      </c>
      <c r="E50" s="53" t="s">
        <v>426</v>
      </c>
      <c r="F50" s="53" t="s">
        <v>242</v>
      </c>
      <c r="G50" s="53" t="s">
        <v>230</v>
      </c>
      <c r="H50" s="52"/>
      <c r="I50" s="54" t="s">
        <v>183</v>
      </c>
      <c r="J50" s="55">
        <v>25000</v>
      </c>
      <c r="K50" s="55"/>
    </row>
    <row r="51" spans="1:11" s="19" customFormat="1" ht="27.75" customHeight="1">
      <c r="A51" s="24">
        <v>49</v>
      </c>
      <c r="B51" s="25" t="s">
        <v>180</v>
      </c>
      <c r="C51" s="26" t="s">
        <v>181</v>
      </c>
      <c r="D51" s="26" t="s">
        <v>600</v>
      </c>
      <c r="E51" s="26" t="s">
        <v>274</v>
      </c>
      <c r="F51" s="26" t="s">
        <v>182</v>
      </c>
      <c r="G51" s="26" t="s">
        <v>75</v>
      </c>
      <c r="H51" s="25"/>
      <c r="I51" s="27" t="s">
        <v>183</v>
      </c>
      <c r="J51" s="28">
        <v>560000</v>
      </c>
      <c r="K51" s="28"/>
    </row>
    <row r="52" spans="1:11" s="19" customFormat="1" ht="27.75" hidden="1" customHeight="1">
      <c r="A52" s="24">
        <v>50</v>
      </c>
      <c r="B52" s="25" t="s">
        <v>180</v>
      </c>
      <c r="C52" s="26" t="s">
        <v>95</v>
      </c>
      <c r="D52" s="26"/>
      <c r="E52" s="26" t="s">
        <v>98</v>
      </c>
      <c r="F52" s="26" t="s">
        <v>99</v>
      </c>
      <c r="G52" s="26" t="s">
        <v>75</v>
      </c>
      <c r="H52" s="25"/>
      <c r="I52" s="27" t="s">
        <v>194</v>
      </c>
      <c r="J52" s="29">
        <v>0</v>
      </c>
      <c r="K52" s="28" t="s">
        <v>195</v>
      </c>
    </row>
    <row r="53" spans="1:11" s="19" customFormat="1" ht="27.75" hidden="1" customHeight="1">
      <c r="A53" s="24">
        <v>51</v>
      </c>
      <c r="B53" s="25" t="s">
        <v>180</v>
      </c>
      <c r="C53" s="26" t="s">
        <v>192</v>
      </c>
      <c r="D53" s="26"/>
      <c r="E53" s="26" t="s">
        <v>317</v>
      </c>
      <c r="F53" s="26" t="s">
        <v>193</v>
      </c>
      <c r="G53" s="26" t="s">
        <v>75</v>
      </c>
      <c r="H53" s="25"/>
      <c r="I53" s="27" t="s">
        <v>194</v>
      </c>
      <c r="J53" s="29">
        <v>0</v>
      </c>
      <c r="K53" s="28" t="s">
        <v>195</v>
      </c>
    </row>
    <row r="54" spans="1:11" ht="27.75" customHeight="1">
      <c r="A54" s="8"/>
      <c r="B54" s="8"/>
      <c r="C54" s="8"/>
      <c r="D54" s="8"/>
      <c r="E54" s="8"/>
      <c r="F54" s="8"/>
      <c r="G54" s="8"/>
      <c r="H54" s="8"/>
      <c r="I54" s="8"/>
      <c r="J54" s="23">
        <f>SUBTOTAL(109,テーブル2[参考：　採択（予定）金額])</f>
        <v>25505000</v>
      </c>
      <c r="K54" s="8"/>
    </row>
  </sheetData>
  <mergeCells count="1">
    <mergeCell ref="A1:K1"/>
  </mergeCells>
  <phoneticPr fontId="1"/>
  <dataValidations count="2">
    <dataValidation type="list" allowBlank="1" showInputMessage="1" showErrorMessage="1" sqref="I3:I53" xr:uid="{00000000-0002-0000-0D00-000000000000}">
      <formula1>"○,×"</formula1>
    </dataValidation>
    <dataValidation type="list" allowBlank="1" showInputMessage="1" showErrorMessage="1" sqref="H3:H53" xr:uid="{00000000-0002-0000-0D00-000001000000}">
      <formula1>"１位,２位,３位"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Height="0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">
    <tabColor rgb="FFFFC000"/>
  </sheetPr>
  <dimension ref="A1:AV127"/>
  <sheetViews>
    <sheetView showGridLines="0" view="pageBreakPreview" zoomScaleNormal="100" zoomScaleSheetLayoutView="100" workbookViewId="0">
      <selection activeCell="F46" sqref="F46"/>
    </sheetView>
  </sheetViews>
  <sheetFormatPr defaultColWidth="9" defaultRowHeight="22.5" customHeight="1"/>
  <cols>
    <col min="1" max="43" width="1.90625" style="13" customWidth="1"/>
    <col min="44" max="44" width="3.36328125" style="15" customWidth="1"/>
    <col min="45" max="47" width="1.90625" style="13" customWidth="1"/>
    <col min="48" max="48" width="6.26953125" style="13" customWidth="1"/>
    <col min="49" max="49" width="25" style="13" customWidth="1"/>
    <col min="50" max="16384" width="9" style="13"/>
  </cols>
  <sheetData>
    <row r="1" spans="1:48" ht="16.5" customHeight="1">
      <c r="A1" s="197"/>
      <c r="B1" s="197"/>
      <c r="AI1" s="200" t="s">
        <v>617</v>
      </c>
      <c r="AJ1" s="200"/>
      <c r="AK1" s="200"/>
      <c r="AL1" s="200"/>
      <c r="AM1" s="200"/>
      <c r="AN1" s="200"/>
      <c r="AO1" s="200"/>
      <c r="AP1" s="200"/>
      <c r="AQ1" s="200"/>
      <c r="AR1" s="15">
        <v>1</v>
      </c>
    </row>
    <row r="2" spans="1:48" ht="16.5" customHeight="1">
      <c r="A2" s="197"/>
      <c r="B2" s="197"/>
      <c r="AI2" s="201">
        <v>44677</v>
      </c>
      <c r="AJ2" s="201"/>
      <c r="AK2" s="201"/>
      <c r="AL2" s="201"/>
      <c r="AM2" s="201"/>
      <c r="AN2" s="201"/>
      <c r="AO2" s="201"/>
      <c r="AP2" s="201"/>
      <c r="AQ2" s="201"/>
      <c r="AR2" s="15">
        <f>AR1+1</f>
        <v>2</v>
      </c>
    </row>
    <row r="3" spans="1:48" ht="18.7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5">
        <f t="shared" ref="AR3:AR34" si="0">AR2+1</f>
        <v>3</v>
      </c>
    </row>
    <row r="4" spans="1:48" ht="18.75" customHeight="1">
      <c r="A4" s="199" t="str">
        <f>INDEX(送付先一覧!A:O,MATCH(AV4,送付先一覧!A:A,0),4)</f>
        <v>パルクシステム株式会社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5">
        <f t="shared" si="0"/>
        <v>4</v>
      </c>
      <c r="AV4" s="65">
        <v>1</v>
      </c>
    </row>
    <row r="5" spans="1:48" ht="18.75" customHeight="1">
      <c r="A5" s="202" t="str">
        <f>INDEX(送付先一覧!A:O,MATCH(AV4,送付先一覧!A:A,0),5)</f>
        <v>代表取締役　坂上　力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15">
        <f t="shared" si="0"/>
        <v>5</v>
      </c>
    </row>
    <row r="6" spans="1:48" ht="18.75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5">
        <f t="shared" si="0"/>
        <v>6</v>
      </c>
    </row>
    <row r="7" spans="1:48" ht="18.75" customHeight="1">
      <c r="V7" s="199" t="s">
        <v>618</v>
      </c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5">
        <f t="shared" si="0"/>
        <v>7</v>
      </c>
    </row>
    <row r="8" spans="1:48" ht="18.75" customHeight="1">
      <c r="V8" s="199" t="s">
        <v>619</v>
      </c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5">
        <f t="shared" si="0"/>
        <v>8</v>
      </c>
    </row>
    <row r="9" spans="1:48" ht="18.7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5">
        <f t="shared" si="0"/>
        <v>9</v>
      </c>
    </row>
    <row r="10" spans="1:48" ht="22.5" customHeight="1">
      <c r="A10" s="203" t="s">
        <v>614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15">
        <f t="shared" si="0"/>
        <v>10</v>
      </c>
    </row>
    <row r="11" spans="1:48" ht="18.7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5">
        <f t="shared" si="0"/>
        <v>11</v>
      </c>
    </row>
    <row r="12" spans="1:48" ht="93.75" customHeight="1">
      <c r="A12" s="205" t="s">
        <v>615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15">
        <f t="shared" si="0"/>
        <v>12</v>
      </c>
    </row>
    <row r="13" spans="1:48" ht="18.7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5">
        <f t="shared" si="0"/>
        <v>13</v>
      </c>
    </row>
    <row r="14" spans="1:48" ht="18.75" customHeight="1">
      <c r="A14" s="197" t="s">
        <v>165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5">
        <f t="shared" si="0"/>
        <v>14</v>
      </c>
    </row>
    <row r="15" spans="1:48" ht="18.7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5">
        <f t="shared" si="0"/>
        <v>15</v>
      </c>
    </row>
    <row r="16" spans="1:48" ht="18.75" customHeight="1">
      <c r="I16" s="199" t="s">
        <v>166</v>
      </c>
      <c r="J16" s="199"/>
      <c r="K16" s="199"/>
      <c r="L16" s="199"/>
      <c r="M16" s="199"/>
      <c r="N16" s="199"/>
      <c r="S16" s="206">
        <f>INDEX(送付先一覧!A:O,MATCH(AV4,送付先一覧!A:A,0),14)</f>
        <v>182912</v>
      </c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199"/>
      <c r="AG16" s="199"/>
      <c r="AH16" s="199"/>
      <c r="AI16" s="199"/>
      <c r="AR16" s="15">
        <f t="shared" si="0"/>
        <v>16</v>
      </c>
    </row>
    <row r="17" spans="1:44" ht="18.75" customHeight="1">
      <c r="I17" s="199" t="s">
        <v>168</v>
      </c>
      <c r="J17" s="199"/>
      <c r="K17" s="199"/>
      <c r="L17" s="199"/>
      <c r="M17" s="199"/>
      <c r="N17" s="199"/>
      <c r="O17" s="199"/>
      <c r="P17" s="199"/>
      <c r="Q17" s="199"/>
      <c r="R17" s="199"/>
      <c r="S17" s="199" t="str">
        <f>INDEX(送付先一覧!A:O,MATCH(AV4,送付先一覧!A:A,0),9)</f>
        <v>居宅介護</v>
      </c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R17" s="15">
        <f t="shared" si="0"/>
        <v>17</v>
      </c>
    </row>
    <row r="18" spans="1:44" ht="18.75" customHeight="1">
      <c r="I18" s="199" t="s">
        <v>161</v>
      </c>
      <c r="J18" s="199"/>
      <c r="K18" s="199"/>
      <c r="L18" s="199"/>
      <c r="M18" s="199"/>
      <c r="N18" s="199"/>
      <c r="O18" s="199"/>
      <c r="P18" s="199"/>
      <c r="Q18" s="199"/>
      <c r="R18" s="199"/>
      <c r="S18" s="204" t="str">
        <f>INDEX(送付先一覧!A:O,MATCH(AV4,送付先一覧!A:A,0),8)</f>
        <v>パルクケアサービスセンター</v>
      </c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15">
        <f t="shared" si="0"/>
        <v>18</v>
      </c>
    </row>
    <row r="19" spans="1:44" ht="18.75" customHeight="1"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15">
        <f t="shared" si="0"/>
        <v>19</v>
      </c>
    </row>
    <row r="20" spans="1:44" ht="18.75" customHeight="1"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R20" s="15">
        <f t="shared" si="0"/>
        <v>20</v>
      </c>
    </row>
    <row r="21" spans="1:44" ht="18.7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5">
        <f t="shared" si="0"/>
        <v>21</v>
      </c>
    </row>
    <row r="22" spans="1:44" ht="18.75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5">
        <f t="shared" si="0"/>
        <v>22</v>
      </c>
    </row>
    <row r="23" spans="1:44" ht="18.75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5">
        <f t="shared" si="0"/>
        <v>23</v>
      </c>
    </row>
    <row r="24" spans="1:44" ht="18.75" customHeight="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5">
        <f t="shared" si="0"/>
        <v>24</v>
      </c>
    </row>
    <row r="25" spans="1:44" ht="18.7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5">
        <f t="shared" si="0"/>
        <v>25</v>
      </c>
    </row>
    <row r="26" spans="1:44" ht="18.7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5">
        <f t="shared" si="0"/>
        <v>26</v>
      </c>
    </row>
    <row r="27" spans="1:44" ht="18.75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5">
        <f t="shared" si="0"/>
        <v>27</v>
      </c>
    </row>
    <row r="28" spans="1:44" ht="18.7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5">
        <f t="shared" si="0"/>
        <v>28</v>
      </c>
    </row>
    <row r="29" spans="1:44" ht="18.75" customHeight="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5">
        <f t="shared" si="0"/>
        <v>29</v>
      </c>
    </row>
    <row r="30" spans="1:44" ht="18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5">
        <f t="shared" si="0"/>
        <v>30</v>
      </c>
    </row>
    <row r="31" spans="1:44" ht="18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5">
        <f t="shared" si="0"/>
        <v>31</v>
      </c>
    </row>
    <row r="32" spans="1:44" ht="18.75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5">
        <f t="shared" si="0"/>
        <v>32</v>
      </c>
    </row>
    <row r="33" spans="1:44" ht="18.7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5">
        <f t="shared" si="0"/>
        <v>33</v>
      </c>
    </row>
    <row r="34" spans="1:44" ht="18.7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5">
        <f t="shared" si="0"/>
        <v>34</v>
      </c>
    </row>
    <row r="35" spans="1:44" ht="18.75" customHeight="1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</row>
    <row r="36" spans="1:44" ht="18.75" customHeight="1">
      <c r="A36" s="15"/>
      <c r="B36" s="15"/>
    </row>
    <row r="37" spans="1:44" ht="16.5" customHeight="1"/>
    <row r="38" spans="1:44" ht="16.5" customHeight="1"/>
    <row r="39" spans="1:44" ht="16.5" customHeight="1"/>
    <row r="40" spans="1:44" ht="16.5" customHeight="1"/>
    <row r="41" spans="1:44" ht="16.5" customHeight="1"/>
    <row r="42" spans="1:44" ht="16.5" customHeight="1"/>
    <row r="43" spans="1:44" ht="16.5" customHeight="1"/>
    <row r="44" spans="1:44" ht="16.5" customHeight="1"/>
    <row r="45" spans="1:44" ht="16.5" customHeight="1"/>
    <row r="46" spans="1:44" ht="16.5" customHeight="1"/>
    <row r="47" spans="1:44" ht="16.5" customHeight="1"/>
    <row r="48" spans="1:44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</sheetData>
  <sheetProtection formatCells="0" selectLockedCells="1"/>
  <mergeCells count="44">
    <mergeCell ref="I16:N16"/>
    <mergeCell ref="I17:N17"/>
    <mergeCell ref="O17:R17"/>
    <mergeCell ref="S17:AP17"/>
    <mergeCell ref="A12:AQ12"/>
    <mergeCell ref="A13:AQ13"/>
    <mergeCell ref="A14:AQ14"/>
    <mergeCell ref="A15:AQ15"/>
    <mergeCell ref="S16:AE16"/>
    <mergeCell ref="AF16:AI16"/>
    <mergeCell ref="I18:N18"/>
    <mergeCell ref="O18:R18"/>
    <mergeCell ref="S18:AQ18"/>
    <mergeCell ref="A31:AQ31"/>
    <mergeCell ref="A32:AQ32"/>
    <mergeCell ref="I20:R20"/>
    <mergeCell ref="S20:AI20"/>
    <mergeCell ref="A21:AQ21"/>
    <mergeCell ref="A22:AQ22"/>
    <mergeCell ref="A23:AQ23"/>
    <mergeCell ref="A24:AQ24"/>
    <mergeCell ref="I19:R19"/>
    <mergeCell ref="A33:AQ33"/>
    <mergeCell ref="A34:AQ34"/>
    <mergeCell ref="A35:AQ35"/>
    <mergeCell ref="A25:AQ25"/>
    <mergeCell ref="A26:AQ26"/>
    <mergeCell ref="A27:AQ27"/>
    <mergeCell ref="A28:AQ28"/>
    <mergeCell ref="A29:AQ29"/>
    <mergeCell ref="A30:AQ30"/>
    <mergeCell ref="A5:AQ5"/>
    <mergeCell ref="A6:AQ6"/>
    <mergeCell ref="A9:AQ9"/>
    <mergeCell ref="A10:AQ10"/>
    <mergeCell ref="A11:AQ11"/>
    <mergeCell ref="V8:AQ8"/>
    <mergeCell ref="V7:AQ7"/>
    <mergeCell ref="A1:B1"/>
    <mergeCell ref="A2:B2"/>
    <mergeCell ref="A3:AQ3"/>
    <mergeCell ref="A4:AQ4"/>
    <mergeCell ref="AI1:AQ1"/>
    <mergeCell ref="AI2:AQ2"/>
  </mergeCells>
  <phoneticPr fontId="1"/>
  <pageMargins left="0.98425196850393704" right="0.98425196850393704" top="1.3779527559055118" bottom="1.1811023622047245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>
    <tabColor rgb="FFFFC000"/>
  </sheetPr>
  <dimension ref="A1:AV126"/>
  <sheetViews>
    <sheetView showGridLines="0" view="pageBreakPreview" zoomScaleNormal="100" zoomScaleSheetLayoutView="100" workbookViewId="0">
      <selection activeCell="V7" sqref="V7:AQ7"/>
    </sheetView>
  </sheetViews>
  <sheetFormatPr defaultColWidth="9" defaultRowHeight="22.5" customHeight="1"/>
  <cols>
    <col min="1" max="43" width="1.90625" style="13" customWidth="1"/>
    <col min="44" max="44" width="3.36328125" style="15" customWidth="1"/>
    <col min="45" max="47" width="1.90625" style="13" customWidth="1"/>
    <col min="48" max="48" width="6.26953125" style="13" customWidth="1"/>
    <col min="49" max="49" width="25" style="13" customWidth="1"/>
    <col min="50" max="16384" width="9" style="13"/>
  </cols>
  <sheetData>
    <row r="1" spans="1:48" ht="16.5" customHeight="1">
      <c r="A1" s="197"/>
      <c r="B1" s="197"/>
      <c r="AI1" s="200" t="str">
        <f>'1'!$AI$1</f>
        <v>R4健障障第100号</v>
      </c>
      <c r="AJ1" s="200"/>
      <c r="AK1" s="200"/>
      <c r="AL1" s="200"/>
      <c r="AM1" s="200"/>
      <c r="AN1" s="200"/>
      <c r="AO1" s="200"/>
      <c r="AP1" s="200"/>
      <c r="AQ1" s="200"/>
      <c r="AR1" s="15">
        <v>1</v>
      </c>
    </row>
    <row r="2" spans="1:48" ht="16.5" customHeight="1">
      <c r="A2" s="197"/>
      <c r="B2" s="197"/>
      <c r="AI2" s="201">
        <f>'1'!$AI$2</f>
        <v>44677</v>
      </c>
      <c r="AJ2" s="201"/>
      <c r="AK2" s="201"/>
      <c r="AL2" s="201"/>
      <c r="AM2" s="201"/>
      <c r="AN2" s="201"/>
      <c r="AO2" s="201"/>
      <c r="AP2" s="201"/>
      <c r="AQ2" s="201"/>
      <c r="AR2" s="15">
        <f>AR1+1</f>
        <v>2</v>
      </c>
    </row>
    <row r="3" spans="1:48" ht="18.7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5">
        <f t="shared" ref="AR3:AR34" si="0">AR2+1</f>
        <v>3</v>
      </c>
    </row>
    <row r="4" spans="1:48" ht="18.75" customHeight="1">
      <c r="A4" s="199" t="str">
        <f>INDEX(送付先一覧!A:O,MATCH(AV4,送付先一覧!A:A,0),4)</f>
        <v>リーフラス株式会社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5">
        <f t="shared" si="0"/>
        <v>4</v>
      </c>
      <c r="AV4" s="65">
        <v>2</v>
      </c>
    </row>
    <row r="5" spans="1:48" ht="18.75" customHeight="1">
      <c r="A5" s="202" t="str">
        <f>INDEX(送付先一覧!A:O,MATCH(AV4,送付先一覧!A:A,0),5)</f>
        <v>代表取締役社長　伊藤　清隆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15">
        <f t="shared" si="0"/>
        <v>5</v>
      </c>
    </row>
    <row r="6" spans="1:48" ht="18.75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5">
        <f t="shared" si="0"/>
        <v>6</v>
      </c>
    </row>
    <row r="7" spans="1:48" ht="18.75" customHeight="1">
      <c r="V7" s="199" t="str">
        <f>'1'!$V$7</f>
        <v>仙台市健康福祉局障害福祉部障害企画課長　　</v>
      </c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5">
        <f t="shared" si="0"/>
        <v>7</v>
      </c>
    </row>
    <row r="8" spans="1:48" ht="18.75" customHeight="1">
      <c r="V8" s="199" t="str">
        <f>'1'!$V$8</f>
        <v>仙台市健康福祉局障害福祉部障害者支援課長　</v>
      </c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5">
        <f t="shared" si="0"/>
        <v>8</v>
      </c>
    </row>
    <row r="9" spans="1:48" ht="18.7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5">
        <f t="shared" si="0"/>
        <v>9</v>
      </c>
    </row>
    <row r="10" spans="1:48" ht="22.5" customHeight="1">
      <c r="A10" s="203" t="str">
        <f>'1'!$A$10</f>
        <v>令和４年度仙台市障害福祉分野のICT導入モデル事業補助金の内示について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15">
        <f t="shared" si="0"/>
        <v>10</v>
      </c>
    </row>
    <row r="11" spans="1:48" ht="18.7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5">
        <f t="shared" si="0"/>
        <v>11</v>
      </c>
    </row>
    <row r="12" spans="1:48" ht="93.75" customHeight="1">
      <c r="A12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15">
        <f t="shared" si="0"/>
        <v>12</v>
      </c>
    </row>
    <row r="13" spans="1:48" ht="18.7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5">
        <f t="shared" si="0"/>
        <v>13</v>
      </c>
    </row>
    <row r="14" spans="1:48" ht="18.75" customHeight="1">
      <c r="A14" s="197" t="str">
        <f>'1'!$A$14</f>
        <v>記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5">
        <f t="shared" si="0"/>
        <v>14</v>
      </c>
    </row>
    <row r="15" spans="1:48" ht="18.7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5">
        <f t="shared" si="0"/>
        <v>15</v>
      </c>
    </row>
    <row r="16" spans="1:48" ht="18.75" customHeight="1">
      <c r="I16" s="199" t="str">
        <f>'1'!$I$16</f>
        <v>補助内示額</v>
      </c>
      <c r="J16" s="199"/>
      <c r="K16" s="199"/>
      <c r="L16" s="199"/>
      <c r="M16" s="199"/>
      <c r="N16" s="199"/>
      <c r="S16" s="206">
        <f>INDEX(送付先一覧!A:O,MATCH(AV4,送付先一覧!A:A,0),12)</f>
        <v>666000</v>
      </c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199"/>
      <c r="AG16" s="199"/>
      <c r="AH16" s="199"/>
      <c r="AI16" s="199"/>
      <c r="AR16" s="15">
        <f t="shared" si="0"/>
        <v>16</v>
      </c>
    </row>
    <row r="17" spans="1:44" ht="18.75" customHeight="1">
      <c r="I17" s="199" t="str">
        <f>'1'!$I$17</f>
        <v>事業種別</v>
      </c>
      <c r="J17" s="199"/>
      <c r="K17" s="199"/>
      <c r="L17" s="199"/>
      <c r="M17" s="199"/>
      <c r="N17" s="199"/>
      <c r="O17" s="199"/>
      <c r="P17" s="199"/>
      <c r="Q17" s="199"/>
      <c r="R17" s="199"/>
      <c r="S17" s="199" t="str">
        <f>INDEX(送付先一覧!A:O,MATCH(AV4,送付先一覧!A:A,0),9)</f>
        <v>放課後等デイサービス</v>
      </c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R17" s="15">
        <f t="shared" si="0"/>
        <v>17</v>
      </c>
    </row>
    <row r="18" spans="1:44" ht="18.75" customHeight="1">
      <c r="I18" s="199" t="str">
        <f>'1'!$I$18</f>
        <v>事業所名</v>
      </c>
      <c r="J18" s="199"/>
      <c r="K18" s="199"/>
      <c r="L18" s="199"/>
      <c r="M18" s="199"/>
      <c r="N18" s="199"/>
      <c r="O18" s="199"/>
      <c r="P18" s="199"/>
      <c r="Q18" s="199"/>
      <c r="R18" s="199"/>
      <c r="S18" s="204" t="str">
        <f>INDEX(送付先一覧!A:O,MATCH(AV4,送付先一覧!A:A,0),8)</f>
        <v>LEIF東仙台</v>
      </c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15">
        <f t="shared" si="0"/>
        <v>18</v>
      </c>
    </row>
    <row r="19" spans="1:44" ht="18.75" customHeight="1"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15">
        <f t="shared" si="0"/>
        <v>19</v>
      </c>
    </row>
    <row r="20" spans="1:44" ht="18.75" customHeight="1"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R20" s="15">
        <f t="shared" si="0"/>
        <v>20</v>
      </c>
    </row>
    <row r="21" spans="1:44" ht="18.7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5">
        <f t="shared" si="0"/>
        <v>21</v>
      </c>
    </row>
    <row r="22" spans="1:44" ht="18.75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5">
        <f t="shared" si="0"/>
        <v>22</v>
      </c>
    </row>
    <row r="23" spans="1:44" ht="18.75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5">
        <f t="shared" si="0"/>
        <v>23</v>
      </c>
    </row>
    <row r="24" spans="1:44" ht="18.75" customHeight="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5">
        <f t="shared" si="0"/>
        <v>24</v>
      </c>
    </row>
    <row r="25" spans="1:44" ht="18.7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5">
        <f t="shared" si="0"/>
        <v>25</v>
      </c>
    </row>
    <row r="26" spans="1:44" ht="18.7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5">
        <f t="shared" si="0"/>
        <v>26</v>
      </c>
    </row>
    <row r="27" spans="1:44" ht="18.75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5">
        <f t="shared" si="0"/>
        <v>27</v>
      </c>
    </row>
    <row r="28" spans="1:44" ht="18.7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5">
        <f t="shared" si="0"/>
        <v>28</v>
      </c>
    </row>
    <row r="29" spans="1:44" ht="18.75" customHeight="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5">
        <f t="shared" si="0"/>
        <v>29</v>
      </c>
    </row>
    <row r="30" spans="1:44" ht="18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5">
        <f t="shared" si="0"/>
        <v>30</v>
      </c>
    </row>
    <row r="31" spans="1:44" ht="18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5">
        <f t="shared" si="0"/>
        <v>31</v>
      </c>
    </row>
    <row r="32" spans="1:44" ht="18.75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5">
        <f t="shared" si="0"/>
        <v>32</v>
      </c>
    </row>
    <row r="33" spans="1:44" ht="18.7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5">
        <f t="shared" si="0"/>
        <v>33</v>
      </c>
    </row>
    <row r="34" spans="1:44" ht="18.7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5">
        <f t="shared" si="0"/>
        <v>34</v>
      </c>
    </row>
    <row r="35" spans="1:44" ht="18.75" customHeight="1">
      <c r="A35" s="15"/>
      <c r="B35" s="15"/>
    </row>
    <row r="36" spans="1:44" ht="16.5" customHeight="1"/>
    <row r="37" spans="1:44" ht="16.5" customHeight="1"/>
    <row r="38" spans="1:44" ht="16.5" customHeight="1"/>
    <row r="39" spans="1:44" ht="16.5" customHeight="1"/>
    <row r="40" spans="1:44" ht="16.5" customHeight="1"/>
    <row r="41" spans="1:44" ht="16.5" customHeight="1"/>
    <row r="42" spans="1:44" ht="16.5" customHeight="1"/>
    <row r="43" spans="1:44" ht="16.5" customHeight="1"/>
    <row r="44" spans="1:44" ht="16.5" customHeight="1"/>
    <row r="45" spans="1:44" ht="16.5" customHeight="1"/>
    <row r="46" spans="1:44" ht="16.5" customHeight="1"/>
    <row r="47" spans="1:44" ht="16.5" customHeight="1"/>
    <row r="48" spans="1:44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</sheetData>
  <sheetProtection formatCells="0" selectLockedCells="1"/>
  <mergeCells count="43">
    <mergeCell ref="A23:AQ23"/>
    <mergeCell ref="I17:N17"/>
    <mergeCell ref="O17:R17"/>
    <mergeCell ref="S17:AP17"/>
    <mergeCell ref="I18:N18"/>
    <mergeCell ref="O18:R18"/>
    <mergeCell ref="I19:R19"/>
    <mergeCell ref="I20:R20"/>
    <mergeCell ref="S20:AI20"/>
    <mergeCell ref="A21:AQ21"/>
    <mergeCell ref="A22:AQ22"/>
    <mergeCell ref="S18:AQ18"/>
    <mergeCell ref="A34:AQ34"/>
    <mergeCell ref="A24:AQ24"/>
    <mergeCell ref="A25:AQ25"/>
    <mergeCell ref="A26:AQ26"/>
    <mergeCell ref="A27:AQ27"/>
    <mergeCell ref="A28:AQ28"/>
    <mergeCell ref="A29:AQ29"/>
    <mergeCell ref="A30:AQ30"/>
    <mergeCell ref="A31:AQ31"/>
    <mergeCell ref="A32:AQ32"/>
    <mergeCell ref="A33:AQ33"/>
    <mergeCell ref="A12:AQ12"/>
    <mergeCell ref="A13:AQ13"/>
    <mergeCell ref="A14:AQ14"/>
    <mergeCell ref="A15:AQ15"/>
    <mergeCell ref="I16:N16"/>
    <mergeCell ref="S16:AE16"/>
    <mergeCell ref="AF16:AI16"/>
    <mergeCell ref="A5:AQ5"/>
    <mergeCell ref="A6:AQ6"/>
    <mergeCell ref="A9:AQ9"/>
    <mergeCell ref="A10:AQ10"/>
    <mergeCell ref="A11:AQ11"/>
    <mergeCell ref="V7:AQ7"/>
    <mergeCell ref="V8:AQ8"/>
    <mergeCell ref="A4:AQ4"/>
    <mergeCell ref="A1:B1"/>
    <mergeCell ref="AI1:AQ1"/>
    <mergeCell ref="A2:B2"/>
    <mergeCell ref="AI2:AQ2"/>
    <mergeCell ref="A3:AQ3"/>
  </mergeCells>
  <phoneticPr fontId="1"/>
  <pageMargins left="0.98425196850393704" right="0.98425196850393704" top="1.3779527559055118" bottom="1.1811023622047245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>
    <tabColor rgb="FFFFC000"/>
  </sheetPr>
  <dimension ref="A1:AV126"/>
  <sheetViews>
    <sheetView showGridLines="0" view="pageBreakPreview" zoomScaleNormal="100" zoomScaleSheetLayoutView="100" workbookViewId="0">
      <selection activeCell="V7" sqref="V7:AQ7"/>
    </sheetView>
  </sheetViews>
  <sheetFormatPr defaultColWidth="9" defaultRowHeight="22.5" customHeight="1"/>
  <cols>
    <col min="1" max="43" width="1.90625" style="13" customWidth="1"/>
    <col min="44" max="44" width="3.36328125" style="15" customWidth="1"/>
    <col min="45" max="47" width="1.90625" style="13" customWidth="1"/>
    <col min="48" max="48" width="6.26953125" style="13" customWidth="1"/>
    <col min="49" max="49" width="25" style="13" customWidth="1"/>
    <col min="50" max="16384" width="9" style="13"/>
  </cols>
  <sheetData>
    <row r="1" spans="1:48" ht="16.5" customHeight="1">
      <c r="A1" s="197"/>
      <c r="B1" s="197"/>
      <c r="AI1" s="200" t="str">
        <f>'1'!$AI$1</f>
        <v>R4健障障第100号</v>
      </c>
      <c r="AJ1" s="200"/>
      <c r="AK1" s="200"/>
      <c r="AL1" s="200"/>
      <c r="AM1" s="200"/>
      <c r="AN1" s="200"/>
      <c r="AO1" s="200"/>
      <c r="AP1" s="200"/>
      <c r="AQ1" s="200"/>
      <c r="AR1" s="15">
        <v>1</v>
      </c>
    </row>
    <row r="2" spans="1:48" ht="16.5" customHeight="1">
      <c r="A2" s="197"/>
      <c r="B2" s="197"/>
      <c r="AI2" s="201">
        <f>'1'!$AI$2</f>
        <v>44677</v>
      </c>
      <c r="AJ2" s="201"/>
      <c r="AK2" s="201"/>
      <c r="AL2" s="201"/>
      <c r="AM2" s="201"/>
      <c r="AN2" s="201"/>
      <c r="AO2" s="201"/>
      <c r="AP2" s="201"/>
      <c r="AQ2" s="201"/>
      <c r="AR2" s="15">
        <f>AR1+1</f>
        <v>2</v>
      </c>
    </row>
    <row r="3" spans="1:48" ht="18.7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5">
        <f t="shared" ref="AR3:AR34" si="0">AR2+1</f>
        <v>3</v>
      </c>
    </row>
    <row r="4" spans="1:48" ht="18.75" customHeight="1">
      <c r="A4" s="199" t="str">
        <f>INDEX(送付先一覧!A:O,MATCH(AV4,送付先一覧!A:A,0),4)</f>
        <v>一般社団法人未来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5">
        <f t="shared" si="0"/>
        <v>4</v>
      </c>
      <c r="AV4" s="65">
        <v>3</v>
      </c>
    </row>
    <row r="5" spans="1:48" ht="18.75" customHeight="1">
      <c r="A5" s="202" t="str">
        <f>INDEX(送付先一覧!A:O,MATCH(AV4,送付先一覧!A:A,0),5)</f>
        <v>代表理事　伊藤　奈未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15">
        <f t="shared" si="0"/>
        <v>5</v>
      </c>
    </row>
    <row r="6" spans="1:48" ht="18.75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5">
        <f t="shared" si="0"/>
        <v>6</v>
      </c>
    </row>
    <row r="7" spans="1:48" ht="18.75" customHeight="1">
      <c r="V7" s="199" t="str">
        <f>'1'!$V$7</f>
        <v>仙台市健康福祉局障害福祉部障害企画課長　　</v>
      </c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5">
        <f t="shared" si="0"/>
        <v>7</v>
      </c>
    </row>
    <row r="8" spans="1:48" ht="18.75" customHeight="1">
      <c r="V8" s="199" t="str">
        <f>'1'!$V$8</f>
        <v>仙台市健康福祉局障害福祉部障害者支援課長　</v>
      </c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5">
        <f t="shared" si="0"/>
        <v>8</v>
      </c>
    </row>
    <row r="9" spans="1:48" ht="18.7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5">
        <f t="shared" si="0"/>
        <v>9</v>
      </c>
    </row>
    <row r="10" spans="1:48" ht="22.5" customHeight="1">
      <c r="A10" s="203" t="str">
        <f>'1'!$A$10</f>
        <v>令和４年度仙台市障害福祉分野のICT導入モデル事業補助金の内示について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15">
        <f t="shared" si="0"/>
        <v>10</v>
      </c>
    </row>
    <row r="11" spans="1:48" ht="18.7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5">
        <f t="shared" si="0"/>
        <v>11</v>
      </c>
    </row>
    <row r="12" spans="1:48" ht="93.75" customHeight="1">
      <c r="A12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15">
        <f t="shared" si="0"/>
        <v>12</v>
      </c>
    </row>
    <row r="13" spans="1:48" ht="18.7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5">
        <f t="shared" si="0"/>
        <v>13</v>
      </c>
    </row>
    <row r="14" spans="1:48" ht="18.75" customHeight="1">
      <c r="A14" s="197" t="str">
        <f>'1'!$A$14</f>
        <v>記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5">
        <f t="shared" si="0"/>
        <v>14</v>
      </c>
    </row>
    <row r="15" spans="1:48" ht="18.7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5">
        <f t="shared" si="0"/>
        <v>15</v>
      </c>
    </row>
    <row r="16" spans="1:48" ht="18.75" customHeight="1">
      <c r="I16" s="199" t="str">
        <f>'1'!$I$16</f>
        <v>補助内示額</v>
      </c>
      <c r="J16" s="199"/>
      <c r="K16" s="199"/>
      <c r="L16" s="199"/>
      <c r="M16" s="199"/>
      <c r="N16" s="199"/>
      <c r="S16" s="206">
        <f>INDEX(送付先一覧!A:O,MATCH(AV4,送付先一覧!A:A,0),12)</f>
        <v>516000</v>
      </c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199"/>
      <c r="AG16" s="199"/>
      <c r="AH16" s="199"/>
      <c r="AI16" s="199"/>
      <c r="AR16" s="15">
        <f t="shared" si="0"/>
        <v>16</v>
      </c>
    </row>
    <row r="17" spans="1:44" ht="18.75" customHeight="1">
      <c r="I17" s="199" t="str">
        <f>'1'!$I$17</f>
        <v>事業種別</v>
      </c>
      <c r="J17" s="199"/>
      <c r="K17" s="199"/>
      <c r="L17" s="199"/>
      <c r="M17" s="199"/>
      <c r="N17" s="199"/>
      <c r="O17" s="199"/>
      <c r="P17" s="199"/>
      <c r="Q17" s="199"/>
      <c r="R17" s="199"/>
      <c r="S17" s="199" t="str">
        <f>INDEX(送付先一覧!A:O,MATCH(AV4,送付先一覧!A:A,0),9)</f>
        <v>計画相談支援</v>
      </c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R17" s="15">
        <f t="shared" si="0"/>
        <v>17</v>
      </c>
    </row>
    <row r="18" spans="1:44" ht="18.75" customHeight="1">
      <c r="I18" s="199" t="str">
        <f>'1'!$I$18</f>
        <v>事業所名</v>
      </c>
      <c r="J18" s="199"/>
      <c r="K18" s="199"/>
      <c r="L18" s="199"/>
      <c r="M18" s="199"/>
      <c r="N18" s="199"/>
      <c r="O18" s="199"/>
      <c r="P18" s="199"/>
      <c r="Q18" s="199"/>
      <c r="R18" s="199"/>
      <c r="S18" s="204" t="str">
        <f>INDEX(送付先一覧!A:O,MATCH(AV4,送付先一覧!A:A,0),8)</f>
        <v>相談支援事業所　未来</v>
      </c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15">
        <f t="shared" si="0"/>
        <v>18</v>
      </c>
    </row>
    <row r="19" spans="1:44" ht="18.75" customHeight="1"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15">
        <f t="shared" si="0"/>
        <v>19</v>
      </c>
    </row>
    <row r="20" spans="1:44" ht="18.75" customHeight="1"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R20" s="15">
        <f t="shared" si="0"/>
        <v>20</v>
      </c>
    </row>
    <row r="21" spans="1:44" ht="18.7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5">
        <f t="shared" si="0"/>
        <v>21</v>
      </c>
    </row>
    <row r="22" spans="1:44" ht="18.75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5">
        <f t="shared" si="0"/>
        <v>22</v>
      </c>
    </row>
    <row r="23" spans="1:44" ht="18.75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5">
        <f t="shared" si="0"/>
        <v>23</v>
      </c>
    </row>
    <row r="24" spans="1:44" ht="18.75" customHeight="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5">
        <f t="shared" si="0"/>
        <v>24</v>
      </c>
    </row>
    <row r="25" spans="1:44" ht="18.7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5">
        <f t="shared" si="0"/>
        <v>25</v>
      </c>
    </row>
    <row r="26" spans="1:44" ht="18.7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5">
        <f t="shared" si="0"/>
        <v>26</v>
      </c>
    </row>
    <row r="27" spans="1:44" ht="18.75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5">
        <f t="shared" si="0"/>
        <v>27</v>
      </c>
    </row>
    <row r="28" spans="1:44" ht="18.7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5">
        <f t="shared" si="0"/>
        <v>28</v>
      </c>
    </row>
    <row r="29" spans="1:44" ht="18.75" customHeight="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5">
        <f t="shared" si="0"/>
        <v>29</v>
      </c>
    </row>
    <row r="30" spans="1:44" ht="18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5">
        <f t="shared" si="0"/>
        <v>30</v>
      </c>
    </row>
    <row r="31" spans="1:44" ht="18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5">
        <f t="shared" si="0"/>
        <v>31</v>
      </c>
    </row>
    <row r="32" spans="1:44" ht="18.75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5">
        <f t="shared" si="0"/>
        <v>32</v>
      </c>
    </row>
    <row r="33" spans="1:44" ht="18.7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5">
        <f t="shared" si="0"/>
        <v>33</v>
      </c>
    </row>
    <row r="34" spans="1:44" ht="18.7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5">
        <f t="shared" si="0"/>
        <v>34</v>
      </c>
    </row>
    <row r="35" spans="1:44" ht="18.75" customHeight="1">
      <c r="A35" s="15"/>
      <c r="B35" s="15"/>
    </row>
    <row r="36" spans="1:44" ht="16.5" customHeight="1"/>
    <row r="37" spans="1:44" ht="16.5" customHeight="1"/>
    <row r="38" spans="1:44" ht="16.5" customHeight="1"/>
    <row r="39" spans="1:44" ht="16.5" customHeight="1"/>
    <row r="40" spans="1:44" ht="16.5" customHeight="1"/>
    <row r="41" spans="1:44" ht="16.5" customHeight="1"/>
    <row r="42" spans="1:44" ht="16.5" customHeight="1"/>
    <row r="43" spans="1:44" ht="16.5" customHeight="1"/>
    <row r="44" spans="1:44" ht="16.5" customHeight="1"/>
    <row r="45" spans="1:44" ht="16.5" customHeight="1"/>
    <row r="46" spans="1:44" ht="16.5" customHeight="1"/>
    <row r="47" spans="1:44" ht="16.5" customHeight="1"/>
    <row r="48" spans="1:44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</sheetData>
  <sheetProtection formatCells="0" selectLockedCells="1"/>
  <mergeCells count="43">
    <mergeCell ref="A30:AQ30"/>
    <mergeCell ref="A31:AQ31"/>
    <mergeCell ref="A32:AQ32"/>
    <mergeCell ref="A33:AQ33"/>
    <mergeCell ref="A34:AQ34"/>
    <mergeCell ref="A29:AQ29"/>
    <mergeCell ref="I19:R19"/>
    <mergeCell ref="I20:R20"/>
    <mergeCell ref="S20:AI20"/>
    <mergeCell ref="A21:AQ21"/>
    <mergeCell ref="A22:AQ22"/>
    <mergeCell ref="A23:AQ23"/>
    <mergeCell ref="A24:AQ24"/>
    <mergeCell ref="A25:AQ25"/>
    <mergeCell ref="A26:AQ26"/>
    <mergeCell ref="A27:AQ27"/>
    <mergeCell ref="A28:AQ28"/>
    <mergeCell ref="I17:N17"/>
    <mergeCell ref="O17:R17"/>
    <mergeCell ref="S17:AP17"/>
    <mergeCell ref="I18:N18"/>
    <mergeCell ref="O18:R18"/>
    <mergeCell ref="S18:AQ18"/>
    <mergeCell ref="I16:N16"/>
    <mergeCell ref="S16:AE16"/>
    <mergeCell ref="AF16:AI16"/>
    <mergeCell ref="A5:AQ5"/>
    <mergeCell ref="A6:AQ6"/>
    <mergeCell ref="V7:AQ7"/>
    <mergeCell ref="V8:AQ8"/>
    <mergeCell ref="A9:AQ9"/>
    <mergeCell ref="A10:AQ10"/>
    <mergeCell ref="A11:AQ11"/>
    <mergeCell ref="A12:AQ12"/>
    <mergeCell ref="A13:AQ13"/>
    <mergeCell ref="A14:AQ14"/>
    <mergeCell ref="A15:AQ15"/>
    <mergeCell ref="A4:AQ4"/>
    <mergeCell ref="A1:B1"/>
    <mergeCell ref="AI1:AQ1"/>
    <mergeCell ref="A2:B2"/>
    <mergeCell ref="AI2:AQ2"/>
    <mergeCell ref="A3:AQ3"/>
  </mergeCells>
  <phoneticPr fontId="1"/>
  <pageMargins left="0.98425196850393704" right="0.98425196850393704" top="1.3779527559055118" bottom="1.181102362204724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>
    <tabColor rgb="FFFFC000"/>
  </sheetPr>
  <dimension ref="A1:AV126"/>
  <sheetViews>
    <sheetView showGridLines="0" view="pageBreakPreview" zoomScaleNormal="100" zoomScaleSheetLayoutView="100" workbookViewId="0">
      <selection activeCell="V7" sqref="V7:AQ7"/>
    </sheetView>
  </sheetViews>
  <sheetFormatPr defaultColWidth="9" defaultRowHeight="22.5" customHeight="1"/>
  <cols>
    <col min="1" max="43" width="1.90625" style="13" customWidth="1"/>
    <col min="44" max="44" width="3.36328125" style="15" customWidth="1"/>
    <col min="45" max="47" width="1.90625" style="13" customWidth="1"/>
    <col min="48" max="48" width="6.26953125" style="13" customWidth="1"/>
    <col min="49" max="49" width="25" style="13" customWidth="1"/>
    <col min="50" max="16384" width="9" style="13"/>
  </cols>
  <sheetData>
    <row r="1" spans="1:48" ht="16.5" customHeight="1">
      <c r="A1" s="197"/>
      <c r="B1" s="197"/>
      <c r="AI1" s="200" t="str">
        <f>'1'!$AI$1</f>
        <v>R4健障障第100号</v>
      </c>
      <c r="AJ1" s="200"/>
      <c r="AK1" s="200"/>
      <c r="AL1" s="200"/>
      <c r="AM1" s="200"/>
      <c r="AN1" s="200"/>
      <c r="AO1" s="200"/>
      <c r="AP1" s="200"/>
      <c r="AQ1" s="200"/>
      <c r="AR1" s="15">
        <v>1</v>
      </c>
    </row>
    <row r="2" spans="1:48" ht="16.5" customHeight="1">
      <c r="A2" s="197"/>
      <c r="B2" s="197"/>
      <c r="AI2" s="201">
        <f>'1'!$AI$2</f>
        <v>44677</v>
      </c>
      <c r="AJ2" s="201"/>
      <c r="AK2" s="201"/>
      <c r="AL2" s="201"/>
      <c r="AM2" s="201"/>
      <c r="AN2" s="201"/>
      <c r="AO2" s="201"/>
      <c r="AP2" s="201"/>
      <c r="AQ2" s="201"/>
      <c r="AR2" s="15">
        <f>AR1+1</f>
        <v>2</v>
      </c>
    </row>
    <row r="3" spans="1:48" ht="18.7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5">
        <f t="shared" ref="AR3:AR34" si="0">AR2+1</f>
        <v>3</v>
      </c>
    </row>
    <row r="4" spans="1:48" ht="18.75" customHeight="1">
      <c r="A4" s="199" t="str">
        <f>INDEX(送付先一覧!A:O,MATCH(AV4,送付先一覧!A:A,0),4)</f>
        <v>一般社団法人IGUNAL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5">
        <f t="shared" si="0"/>
        <v>4</v>
      </c>
      <c r="AV4" s="65">
        <v>4</v>
      </c>
    </row>
    <row r="5" spans="1:48" ht="18.75" customHeight="1">
      <c r="A5" s="202" t="str">
        <f>INDEX(送付先一覧!A:O,MATCH(AV4,送付先一覧!A:A,0),5)</f>
        <v>代表理事　福地　慎治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15">
        <f t="shared" si="0"/>
        <v>5</v>
      </c>
    </row>
    <row r="6" spans="1:48" ht="18.75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5">
        <f t="shared" si="0"/>
        <v>6</v>
      </c>
    </row>
    <row r="7" spans="1:48" ht="18.75" customHeight="1">
      <c r="V7" s="199" t="str">
        <f>'1'!$V$7</f>
        <v>仙台市健康福祉局障害福祉部障害企画課長　　</v>
      </c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5">
        <f t="shared" si="0"/>
        <v>7</v>
      </c>
    </row>
    <row r="8" spans="1:48" ht="18.75" customHeight="1">
      <c r="V8" s="199" t="str">
        <f>'1'!$V$8</f>
        <v>仙台市健康福祉局障害福祉部障害者支援課長　</v>
      </c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5">
        <f t="shared" si="0"/>
        <v>8</v>
      </c>
    </row>
    <row r="9" spans="1:48" ht="18.7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5">
        <f t="shared" si="0"/>
        <v>9</v>
      </c>
    </row>
    <row r="10" spans="1:48" ht="22.5" customHeight="1">
      <c r="A10" s="203" t="str">
        <f>'1'!$A$10</f>
        <v>令和４年度仙台市障害福祉分野のICT導入モデル事業補助金の内示について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15">
        <f t="shared" si="0"/>
        <v>10</v>
      </c>
    </row>
    <row r="11" spans="1:48" ht="18.7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5">
        <f t="shared" si="0"/>
        <v>11</v>
      </c>
    </row>
    <row r="12" spans="1:48" ht="93.75" customHeight="1">
      <c r="A12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15">
        <f t="shared" si="0"/>
        <v>12</v>
      </c>
    </row>
    <row r="13" spans="1:48" ht="18.7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5">
        <f t="shared" si="0"/>
        <v>13</v>
      </c>
    </row>
    <row r="14" spans="1:48" ht="18.75" customHeight="1">
      <c r="A14" s="197" t="str">
        <f>'1'!$A$14</f>
        <v>記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5">
        <f t="shared" si="0"/>
        <v>14</v>
      </c>
    </row>
    <row r="15" spans="1:48" ht="18.7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5">
        <f t="shared" si="0"/>
        <v>15</v>
      </c>
    </row>
    <row r="16" spans="1:48" ht="18.75" customHeight="1">
      <c r="I16" s="199" t="str">
        <f>'1'!$I$16</f>
        <v>補助内示額</v>
      </c>
      <c r="J16" s="199"/>
      <c r="K16" s="199"/>
      <c r="L16" s="199"/>
      <c r="M16" s="199"/>
      <c r="N16" s="199"/>
      <c r="S16" s="206">
        <f>INDEX(送付先一覧!A:O,MATCH(AV4,送付先一覧!A:A,0),12)</f>
        <v>144000</v>
      </c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199"/>
      <c r="AG16" s="199"/>
      <c r="AH16" s="199"/>
      <c r="AI16" s="199"/>
      <c r="AR16" s="15">
        <f t="shared" si="0"/>
        <v>16</v>
      </c>
    </row>
    <row r="17" spans="1:44" ht="18.75" customHeight="1">
      <c r="I17" s="199" t="str">
        <f>'1'!$I$17</f>
        <v>事業種別</v>
      </c>
      <c r="J17" s="199"/>
      <c r="K17" s="199"/>
      <c r="L17" s="199"/>
      <c r="M17" s="199"/>
      <c r="N17" s="199"/>
      <c r="O17" s="199"/>
      <c r="P17" s="199"/>
      <c r="Q17" s="199"/>
      <c r="R17" s="199"/>
      <c r="S17" s="199" t="str">
        <f>INDEX(送付先一覧!A:O,MATCH(AV4,送付先一覧!A:A,0),9)</f>
        <v>計画相談支援</v>
      </c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R17" s="15">
        <f t="shared" si="0"/>
        <v>17</v>
      </c>
    </row>
    <row r="18" spans="1:44" ht="18.75" customHeight="1">
      <c r="I18" s="199" t="str">
        <f>'1'!$I$18</f>
        <v>事業所名</v>
      </c>
      <c r="J18" s="199"/>
      <c r="K18" s="199"/>
      <c r="L18" s="199"/>
      <c r="M18" s="199"/>
      <c r="N18" s="199"/>
      <c r="O18" s="199"/>
      <c r="P18" s="199"/>
      <c r="Q18" s="199"/>
      <c r="R18" s="199"/>
      <c r="S18" s="204" t="str">
        <f>INDEX(送付先一覧!A:O,MATCH(AV4,送付先一覧!A:A,0),8)</f>
        <v>障害者相談支援相談支援センターゆあらいふ</v>
      </c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15">
        <f t="shared" si="0"/>
        <v>18</v>
      </c>
    </row>
    <row r="19" spans="1:44" ht="18.75" customHeight="1"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15">
        <f t="shared" si="0"/>
        <v>19</v>
      </c>
    </row>
    <row r="20" spans="1:44" ht="18.75" customHeight="1"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R20" s="15">
        <f t="shared" si="0"/>
        <v>20</v>
      </c>
    </row>
    <row r="21" spans="1:44" ht="18.7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5">
        <f t="shared" si="0"/>
        <v>21</v>
      </c>
    </row>
    <row r="22" spans="1:44" ht="18.75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5">
        <f t="shared" si="0"/>
        <v>22</v>
      </c>
    </row>
    <row r="23" spans="1:44" ht="18.75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5">
        <f t="shared" si="0"/>
        <v>23</v>
      </c>
    </row>
    <row r="24" spans="1:44" ht="18.75" customHeight="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5">
        <f t="shared" si="0"/>
        <v>24</v>
      </c>
    </row>
    <row r="25" spans="1:44" ht="18.7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5">
        <f t="shared" si="0"/>
        <v>25</v>
      </c>
    </row>
    <row r="26" spans="1:44" ht="18.7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5">
        <f t="shared" si="0"/>
        <v>26</v>
      </c>
    </row>
    <row r="27" spans="1:44" ht="18.75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5">
        <f t="shared" si="0"/>
        <v>27</v>
      </c>
    </row>
    <row r="28" spans="1:44" ht="18.7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5">
        <f t="shared" si="0"/>
        <v>28</v>
      </c>
    </row>
    <row r="29" spans="1:44" ht="18.75" customHeight="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5">
        <f t="shared" si="0"/>
        <v>29</v>
      </c>
    </row>
    <row r="30" spans="1:44" ht="18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5">
        <f t="shared" si="0"/>
        <v>30</v>
      </c>
    </row>
    <row r="31" spans="1:44" ht="18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5">
        <f t="shared" si="0"/>
        <v>31</v>
      </c>
    </row>
    <row r="32" spans="1:44" ht="18.75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5">
        <f t="shared" si="0"/>
        <v>32</v>
      </c>
    </row>
    <row r="33" spans="1:44" ht="18.7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5">
        <f t="shared" si="0"/>
        <v>33</v>
      </c>
    </row>
    <row r="34" spans="1:44" ht="18.7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5">
        <f t="shared" si="0"/>
        <v>34</v>
      </c>
    </row>
    <row r="35" spans="1:44" ht="18.75" customHeight="1">
      <c r="A35" s="15"/>
      <c r="B35" s="15"/>
    </row>
    <row r="36" spans="1:44" ht="16.5" customHeight="1"/>
    <row r="37" spans="1:44" ht="16.5" customHeight="1"/>
    <row r="38" spans="1:44" ht="16.5" customHeight="1"/>
    <row r="39" spans="1:44" ht="16.5" customHeight="1"/>
    <row r="40" spans="1:44" ht="16.5" customHeight="1"/>
    <row r="41" spans="1:44" ht="16.5" customHeight="1"/>
    <row r="42" spans="1:44" ht="16.5" customHeight="1"/>
    <row r="43" spans="1:44" ht="16.5" customHeight="1"/>
    <row r="44" spans="1:44" ht="16.5" customHeight="1"/>
    <row r="45" spans="1:44" ht="16.5" customHeight="1"/>
    <row r="46" spans="1:44" ht="16.5" customHeight="1"/>
    <row r="47" spans="1:44" ht="16.5" customHeight="1"/>
    <row r="48" spans="1:44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</sheetData>
  <sheetProtection formatCells="0" selectLockedCells="1"/>
  <mergeCells count="43">
    <mergeCell ref="A30:AQ30"/>
    <mergeCell ref="A31:AQ31"/>
    <mergeCell ref="A32:AQ32"/>
    <mergeCell ref="A33:AQ33"/>
    <mergeCell ref="A34:AQ34"/>
    <mergeCell ref="A29:AQ29"/>
    <mergeCell ref="I19:R19"/>
    <mergeCell ref="I20:R20"/>
    <mergeCell ref="S20:AI20"/>
    <mergeCell ref="A21:AQ21"/>
    <mergeCell ref="A22:AQ22"/>
    <mergeCell ref="A23:AQ23"/>
    <mergeCell ref="A24:AQ24"/>
    <mergeCell ref="A25:AQ25"/>
    <mergeCell ref="A26:AQ26"/>
    <mergeCell ref="A27:AQ27"/>
    <mergeCell ref="A28:AQ28"/>
    <mergeCell ref="I17:N17"/>
    <mergeCell ref="O17:R17"/>
    <mergeCell ref="S17:AP17"/>
    <mergeCell ref="I18:N18"/>
    <mergeCell ref="O18:R18"/>
    <mergeCell ref="S18:AQ18"/>
    <mergeCell ref="I16:N16"/>
    <mergeCell ref="S16:AE16"/>
    <mergeCell ref="AF16:AI16"/>
    <mergeCell ref="A5:AQ5"/>
    <mergeCell ref="A6:AQ6"/>
    <mergeCell ref="V7:AQ7"/>
    <mergeCell ref="V8:AQ8"/>
    <mergeCell ref="A9:AQ9"/>
    <mergeCell ref="A10:AQ10"/>
    <mergeCell ref="A11:AQ11"/>
    <mergeCell ref="A12:AQ12"/>
    <mergeCell ref="A13:AQ13"/>
    <mergeCell ref="A14:AQ14"/>
    <mergeCell ref="A15:AQ15"/>
    <mergeCell ref="A4:AQ4"/>
    <mergeCell ref="A1:B1"/>
    <mergeCell ref="AI1:AQ1"/>
    <mergeCell ref="A2:B2"/>
    <mergeCell ref="AI2:AQ2"/>
    <mergeCell ref="A3:AQ3"/>
  </mergeCells>
  <phoneticPr fontId="1"/>
  <pageMargins left="0.98425196850393704" right="0.98425196850393704" top="1.3779527559055118" bottom="1.1811023622047245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1">
    <tabColor rgb="FFFFC000"/>
  </sheetPr>
  <dimension ref="A1:AV126"/>
  <sheetViews>
    <sheetView showGridLines="0" view="pageBreakPreview" zoomScaleNormal="100" zoomScaleSheetLayoutView="100" workbookViewId="0">
      <selection activeCell="V7" sqref="V7:AQ7"/>
    </sheetView>
  </sheetViews>
  <sheetFormatPr defaultColWidth="9" defaultRowHeight="22.5" customHeight="1"/>
  <cols>
    <col min="1" max="43" width="1.90625" style="13" customWidth="1"/>
    <col min="44" max="44" width="3.36328125" style="15" customWidth="1"/>
    <col min="45" max="47" width="1.90625" style="13" customWidth="1"/>
    <col min="48" max="48" width="6.26953125" style="13" customWidth="1"/>
    <col min="49" max="49" width="25" style="13" customWidth="1"/>
    <col min="50" max="16384" width="9" style="13"/>
  </cols>
  <sheetData>
    <row r="1" spans="1:48" ht="16.5" customHeight="1">
      <c r="A1" s="197"/>
      <c r="B1" s="197"/>
      <c r="AI1" s="200" t="str">
        <f>'1'!$AI$1</f>
        <v>R4健障障第100号</v>
      </c>
      <c r="AJ1" s="200"/>
      <c r="AK1" s="200"/>
      <c r="AL1" s="200"/>
      <c r="AM1" s="200"/>
      <c r="AN1" s="200"/>
      <c r="AO1" s="200"/>
      <c r="AP1" s="200"/>
      <c r="AQ1" s="200"/>
      <c r="AR1" s="15">
        <v>1</v>
      </c>
    </row>
    <row r="2" spans="1:48" ht="16.5" customHeight="1">
      <c r="A2" s="197"/>
      <c r="B2" s="197"/>
      <c r="AI2" s="201">
        <f>'1'!$AI$2</f>
        <v>44677</v>
      </c>
      <c r="AJ2" s="201"/>
      <c r="AK2" s="201"/>
      <c r="AL2" s="201"/>
      <c r="AM2" s="201"/>
      <c r="AN2" s="201"/>
      <c r="AO2" s="201"/>
      <c r="AP2" s="201"/>
      <c r="AQ2" s="201"/>
      <c r="AR2" s="15">
        <f>AR1+1</f>
        <v>2</v>
      </c>
    </row>
    <row r="3" spans="1:48" ht="18.7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5">
        <f t="shared" ref="AR3:AR34" si="0">AR2+1</f>
        <v>3</v>
      </c>
    </row>
    <row r="4" spans="1:48" ht="18.75" customHeight="1">
      <c r="A4" s="199" t="str">
        <f>INDEX(送付先一覧!A:O,MATCH(AV4,送付先一覧!A:A,0),4)</f>
        <v>株式会社家和楽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5">
        <f t="shared" si="0"/>
        <v>4</v>
      </c>
      <c r="AV4" s="65">
        <v>5</v>
      </c>
    </row>
    <row r="5" spans="1:48" ht="18.75" customHeight="1">
      <c r="A5" s="202" t="str">
        <f>INDEX(送付先一覧!A:O,MATCH(AV4,送付先一覧!A:A,0),5)</f>
        <v>代表取締役　木村　靖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15">
        <f t="shared" si="0"/>
        <v>5</v>
      </c>
    </row>
    <row r="6" spans="1:48" ht="18.75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5">
        <f t="shared" si="0"/>
        <v>6</v>
      </c>
    </row>
    <row r="7" spans="1:48" ht="18.75" customHeight="1">
      <c r="V7" s="199" t="str">
        <f>'1'!$V$7</f>
        <v>仙台市健康福祉局障害福祉部障害企画課長　　</v>
      </c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5">
        <f t="shared" si="0"/>
        <v>7</v>
      </c>
    </row>
    <row r="8" spans="1:48" ht="18.75" customHeight="1">
      <c r="V8" s="199" t="str">
        <f>'1'!$V$8</f>
        <v>仙台市健康福祉局障害福祉部障害者支援課長　</v>
      </c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5">
        <f t="shared" si="0"/>
        <v>8</v>
      </c>
    </row>
    <row r="9" spans="1:48" ht="18.7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5">
        <f t="shared" si="0"/>
        <v>9</v>
      </c>
    </row>
    <row r="10" spans="1:48" ht="22.5" customHeight="1">
      <c r="A10" s="203" t="str">
        <f>'1'!$A$10</f>
        <v>令和４年度仙台市障害福祉分野のICT導入モデル事業補助金の内示について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15">
        <f t="shared" si="0"/>
        <v>10</v>
      </c>
    </row>
    <row r="11" spans="1:48" ht="18.7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5">
        <f t="shared" si="0"/>
        <v>11</v>
      </c>
    </row>
    <row r="12" spans="1:48" ht="93.75" customHeight="1">
      <c r="A12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15">
        <f t="shared" si="0"/>
        <v>12</v>
      </c>
    </row>
    <row r="13" spans="1:48" ht="18.7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5">
        <f t="shared" si="0"/>
        <v>13</v>
      </c>
    </row>
    <row r="14" spans="1:48" ht="18.75" customHeight="1">
      <c r="A14" s="197" t="str">
        <f>'1'!$A$14</f>
        <v>記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5">
        <f t="shared" si="0"/>
        <v>14</v>
      </c>
    </row>
    <row r="15" spans="1:48" ht="18.7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5">
        <f t="shared" si="0"/>
        <v>15</v>
      </c>
    </row>
    <row r="16" spans="1:48" ht="18.75" customHeight="1">
      <c r="I16" s="199" t="str">
        <f>'1'!$I$16</f>
        <v>補助内示額</v>
      </c>
      <c r="J16" s="199"/>
      <c r="K16" s="199"/>
      <c r="L16" s="199"/>
      <c r="M16" s="199"/>
      <c r="N16" s="199"/>
      <c r="S16" s="206">
        <f>INDEX(送付先一覧!A:O,MATCH(AV4,送付先一覧!A:A,0),12)</f>
        <v>666000</v>
      </c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199"/>
      <c r="AG16" s="199"/>
      <c r="AH16" s="199"/>
      <c r="AI16" s="199"/>
      <c r="AR16" s="15">
        <f t="shared" si="0"/>
        <v>16</v>
      </c>
    </row>
    <row r="17" spans="1:44" ht="18.75" customHeight="1">
      <c r="I17" s="199" t="str">
        <f>'1'!$I$17</f>
        <v>事業種別</v>
      </c>
      <c r="J17" s="199"/>
      <c r="K17" s="199"/>
      <c r="L17" s="199"/>
      <c r="M17" s="199"/>
      <c r="N17" s="199"/>
      <c r="O17" s="199"/>
      <c r="P17" s="199"/>
      <c r="Q17" s="199"/>
      <c r="R17" s="199"/>
      <c r="S17" s="199" t="str">
        <f>INDEX(送付先一覧!A:O,MATCH(AV4,送付先一覧!A:A,0),9)</f>
        <v>居宅介護</v>
      </c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R17" s="15">
        <f t="shared" si="0"/>
        <v>17</v>
      </c>
    </row>
    <row r="18" spans="1:44" ht="18.75" customHeight="1">
      <c r="I18" s="199" t="str">
        <f>'1'!$I$18</f>
        <v>事業所名</v>
      </c>
      <c r="J18" s="199"/>
      <c r="K18" s="199"/>
      <c r="L18" s="199"/>
      <c r="M18" s="199"/>
      <c r="N18" s="199"/>
      <c r="O18" s="199"/>
      <c r="P18" s="199"/>
      <c r="Q18" s="199"/>
      <c r="R18" s="199"/>
      <c r="S18" s="204" t="str">
        <f>INDEX(送付先一覧!A:O,MATCH(AV4,送付先一覧!A:A,0),8)</f>
        <v>ヘルパーステーション大空</v>
      </c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15">
        <f t="shared" si="0"/>
        <v>18</v>
      </c>
    </row>
    <row r="19" spans="1:44" ht="18.75" customHeight="1"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15">
        <f t="shared" si="0"/>
        <v>19</v>
      </c>
    </row>
    <row r="20" spans="1:44" ht="18.75" customHeight="1"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R20" s="15">
        <f t="shared" si="0"/>
        <v>20</v>
      </c>
    </row>
    <row r="21" spans="1:44" ht="18.7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5">
        <f t="shared" si="0"/>
        <v>21</v>
      </c>
    </row>
    <row r="22" spans="1:44" ht="18.75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5">
        <f t="shared" si="0"/>
        <v>22</v>
      </c>
    </row>
    <row r="23" spans="1:44" ht="18.75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5">
        <f t="shared" si="0"/>
        <v>23</v>
      </c>
    </row>
    <row r="24" spans="1:44" ht="18.75" customHeight="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5">
        <f t="shared" si="0"/>
        <v>24</v>
      </c>
    </row>
    <row r="25" spans="1:44" ht="18.7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5">
        <f t="shared" si="0"/>
        <v>25</v>
      </c>
    </row>
    <row r="26" spans="1:44" ht="18.7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5">
        <f t="shared" si="0"/>
        <v>26</v>
      </c>
    </row>
    <row r="27" spans="1:44" ht="18.75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5">
        <f t="shared" si="0"/>
        <v>27</v>
      </c>
    </row>
    <row r="28" spans="1:44" ht="18.7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5">
        <f t="shared" si="0"/>
        <v>28</v>
      </c>
    </row>
    <row r="29" spans="1:44" ht="18.75" customHeight="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5">
        <f t="shared" si="0"/>
        <v>29</v>
      </c>
    </row>
    <row r="30" spans="1:44" ht="18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5">
        <f t="shared" si="0"/>
        <v>30</v>
      </c>
    </row>
    <row r="31" spans="1:44" ht="18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5">
        <f t="shared" si="0"/>
        <v>31</v>
      </c>
    </row>
    <row r="32" spans="1:44" ht="18.75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5">
        <f t="shared" si="0"/>
        <v>32</v>
      </c>
    </row>
    <row r="33" spans="1:44" ht="18.7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5">
        <f t="shared" si="0"/>
        <v>33</v>
      </c>
    </row>
    <row r="34" spans="1:44" ht="18.7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5">
        <f t="shared" si="0"/>
        <v>34</v>
      </c>
    </row>
    <row r="35" spans="1:44" ht="18.75" customHeight="1">
      <c r="A35" s="15"/>
      <c r="B35" s="15"/>
    </row>
    <row r="36" spans="1:44" ht="16.5" customHeight="1"/>
    <row r="37" spans="1:44" ht="16.5" customHeight="1"/>
    <row r="38" spans="1:44" ht="16.5" customHeight="1"/>
    <row r="39" spans="1:44" ht="16.5" customHeight="1"/>
    <row r="40" spans="1:44" ht="16.5" customHeight="1"/>
    <row r="41" spans="1:44" ht="16.5" customHeight="1"/>
    <row r="42" spans="1:44" ht="16.5" customHeight="1"/>
    <row r="43" spans="1:44" ht="16.5" customHeight="1"/>
    <row r="44" spans="1:44" ht="16.5" customHeight="1"/>
    <row r="45" spans="1:44" ht="16.5" customHeight="1"/>
    <row r="46" spans="1:44" ht="16.5" customHeight="1"/>
    <row r="47" spans="1:44" ht="16.5" customHeight="1"/>
    <row r="48" spans="1:44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</sheetData>
  <sheetProtection formatCells="0" selectLockedCells="1"/>
  <mergeCells count="43">
    <mergeCell ref="A30:AQ30"/>
    <mergeCell ref="A31:AQ31"/>
    <mergeCell ref="A32:AQ32"/>
    <mergeCell ref="A33:AQ33"/>
    <mergeCell ref="A34:AQ34"/>
    <mergeCell ref="A29:AQ29"/>
    <mergeCell ref="I19:R19"/>
    <mergeCell ref="I20:R20"/>
    <mergeCell ref="S20:AI20"/>
    <mergeCell ref="A21:AQ21"/>
    <mergeCell ref="A22:AQ22"/>
    <mergeCell ref="A23:AQ23"/>
    <mergeCell ref="A24:AQ24"/>
    <mergeCell ref="A25:AQ25"/>
    <mergeCell ref="A26:AQ26"/>
    <mergeCell ref="A27:AQ27"/>
    <mergeCell ref="A28:AQ28"/>
    <mergeCell ref="I17:N17"/>
    <mergeCell ref="O17:R17"/>
    <mergeCell ref="S17:AP17"/>
    <mergeCell ref="I18:N18"/>
    <mergeCell ref="O18:R18"/>
    <mergeCell ref="S18:AQ18"/>
    <mergeCell ref="I16:N16"/>
    <mergeCell ref="S16:AE16"/>
    <mergeCell ref="AF16:AI16"/>
    <mergeCell ref="A5:AQ5"/>
    <mergeCell ref="A6:AQ6"/>
    <mergeCell ref="V7:AQ7"/>
    <mergeCell ref="V8:AQ8"/>
    <mergeCell ref="A9:AQ9"/>
    <mergeCell ref="A10:AQ10"/>
    <mergeCell ref="A11:AQ11"/>
    <mergeCell ref="A12:AQ12"/>
    <mergeCell ref="A13:AQ13"/>
    <mergeCell ref="A14:AQ14"/>
    <mergeCell ref="A15:AQ15"/>
    <mergeCell ref="A4:AQ4"/>
    <mergeCell ref="A1:B1"/>
    <mergeCell ref="AI1:AQ1"/>
    <mergeCell ref="A2:B2"/>
    <mergeCell ref="AI2:AQ2"/>
    <mergeCell ref="A3:AQ3"/>
  </mergeCells>
  <phoneticPr fontId="1"/>
  <pageMargins left="0.98425196850393704" right="0.98425196850393704" top="1.3779527559055118" bottom="1.181102362204724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O51"/>
  <sheetViews>
    <sheetView showGridLines="0" topLeftCell="B1" zoomScale="80" zoomScaleNormal="80" zoomScaleSheetLayoutView="70" workbookViewId="0">
      <pane ySplit="1" topLeftCell="A26" activePane="bottomLeft" state="frozen"/>
      <selection activeCell="I14" sqref="I14:I15"/>
      <selection pane="bottomLeft" activeCell="I11" sqref="I11:I42"/>
    </sheetView>
  </sheetViews>
  <sheetFormatPr defaultColWidth="9" defaultRowHeight="11.5" outlineLevelCol="1"/>
  <cols>
    <col min="1" max="1" width="6.90625" style="163" customWidth="1"/>
    <col min="2" max="2" width="58.90625" style="163" customWidth="1"/>
    <col min="3" max="3" width="45.36328125" style="163" customWidth="1"/>
    <col min="4" max="4" width="32.453125" style="163" customWidth="1"/>
    <col min="5" max="8" width="17" style="163" hidden="1" customWidth="1" outlineLevel="1"/>
    <col min="9" max="9" width="20.7265625" style="163" customWidth="1" collapsed="1"/>
    <col min="10" max="14" width="20.7265625" style="165" customWidth="1"/>
    <col min="15" max="15" width="20.7265625" style="163" customWidth="1"/>
    <col min="16" max="16384" width="9" style="163"/>
  </cols>
  <sheetData>
    <row r="1" spans="1:15" ht="46.5" customHeight="1">
      <c r="A1" s="172" t="s">
        <v>257</v>
      </c>
      <c r="B1" s="172" t="s">
        <v>173</v>
      </c>
      <c r="C1" s="172" t="s">
        <v>174</v>
      </c>
      <c r="D1" s="172" t="s">
        <v>175</v>
      </c>
      <c r="E1" s="172" t="s">
        <v>637</v>
      </c>
      <c r="F1" s="172" t="s">
        <v>873</v>
      </c>
      <c r="G1" s="172" t="s">
        <v>874</v>
      </c>
      <c r="H1" s="172" t="s">
        <v>876</v>
      </c>
      <c r="I1" s="172" t="s">
        <v>893</v>
      </c>
      <c r="J1" s="172" t="s">
        <v>896</v>
      </c>
      <c r="K1" s="172" t="s">
        <v>914</v>
      </c>
      <c r="L1" s="173" t="s">
        <v>916</v>
      </c>
      <c r="M1" s="172" t="s">
        <v>915</v>
      </c>
      <c r="N1" s="172" t="s">
        <v>917</v>
      </c>
      <c r="O1" s="172" t="s">
        <v>918</v>
      </c>
    </row>
    <row r="2" spans="1:15" ht="25" customHeight="1">
      <c r="A2" s="170">
        <v>1</v>
      </c>
      <c r="B2" s="168" t="s">
        <v>190</v>
      </c>
      <c r="C2" s="168" t="s">
        <v>191</v>
      </c>
      <c r="D2" s="168" t="s">
        <v>900</v>
      </c>
      <c r="E2" s="168">
        <v>1000000</v>
      </c>
      <c r="F2" s="168">
        <v>1000000</v>
      </c>
      <c r="G2" s="168">
        <v>1000000</v>
      </c>
      <c r="H2" s="168">
        <f>IF('実績確定用  (3)'!$I2="確定払","",'実績確定用  (3)'!$F2-'実績確定用  (3)'!$G2)</f>
        <v>0</v>
      </c>
      <c r="I2" s="189" t="s">
        <v>895</v>
      </c>
      <c r="J2" s="186">
        <v>44753</v>
      </c>
      <c r="K2" s="168">
        <v>1000000</v>
      </c>
      <c r="L2" s="186">
        <v>44951</v>
      </c>
      <c r="M2" s="168">
        <v>1000000</v>
      </c>
      <c r="N2" s="168">
        <f>IF(I2="概算払",M2-K2,0)</f>
        <v>0</v>
      </c>
      <c r="O2" s="168">
        <f>ROUNDDOWN(PRODUCT(M2,2/3),-3)</f>
        <v>666000</v>
      </c>
    </row>
    <row r="3" spans="1:15" ht="25" customHeight="1">
      <c r="A3" s="170">
        <v>2</v>
      </c>
      <c r="B3" s="168" t="s">
        <v>190</v>
      </c>
      <c r="C3" s="168" t="s">
        <v>198</v>
      </c>
      <c r="D3" s="168" t="s">
        <v>900</v>
      </c>
      <c r="E3" s="168">
        <v>507540</v>
      </c>
      <c r="F3" s="168">
        <v>507000</v>
      </c>
      <c r="G3" s="168">
        <v>507000</v>
      </c>
      <c r="H3" s="168">
        <f>IF('実績確定用  (3)'!$I3="確定払","",'実績確定用  (3)'!$F3-'実績確定用  (3)'!$G3)</f>
        <v>0</v>
      </c>
      <c r="I3" s="190"/>
      <c r="J3" s="187"/>
      <c r="K3" s="168">
        <v>507000</v>
      </c>
      <c r="L3" s="187"/>
      <c r="M3" s="168">
        <v>507000</v>
      </c>
      <c r="N3" s="168">
        <f t="shared" ref="N3:N42" si="0">M3-K3</f>
        <v>0</v>
      </c>
      <c r="O3" s="168">
        <f t="shared" ref="O3:O47" si="1">ROUNDDOWN(PRODUCT(M3,2/3),-3)</f>
        <v>338000</v>
      </c>
    </row>
    <row r="4" spans="1:15" ht="25" customHeight="1">
      <c r="A4" s="170">
        <v>3</v>
      </c>
      <c r="B4" s="168" t="s">
        <v>185</v>
      </c>
      <c r="C4" s="168" t="s">
        <v>196</v>
      </c>
      <c r="D4" s="168" t="s">
        <v>899</v>
      </c>
      <c r="E4" s="168">
        <v>1000000</v>
      </c>
      <c r="F4" s="168">
        <v>1000000</v>
      </c>
      <c r="G4" s="168">
        <v>1000000</v>
      </c>
      <c r="H4" s="168">
        <f>IF('実績確定用  (3)'!$I4="確定払","",'実績確定用  (3)'!$F4-'実績確定用  (3)'!$G4)</f>
        <v>0</v>
      </c>
      <c r="I4" s="190"/>
      <c r="J4" s="187"/>
      <c r="K4" s="168">
        <v>1000000</v>
      </c>
      <c r="L4" s="187"/>
      <c r="M4" s="168">
        <v>1000000</v>
      </c>
      <c r="N4" s="168">
        <f t="shared" si="0"/>
        <v>0</v>
      </c>
      <c r="O4" s="168">
        <f t="shared" si="1"/>
        <v>666000</v>
      </c>
    </row>
    <row r="5" spans="1:15" ht="25" customHeight="1">
      <c r="A5" s="170">
        <v>4</v>
      </c>
      <c r="B5" s="168" t="s">
        <v>185</v>
      </c>
      <c r="C5" s="168" t="s">
        <v>258</v>
      </c>
      <c r="D5" s="168" t="s">
        <v>900</v>
      </c>
      <c r="E5" s="168">
        <v>1000000</v>
      </c>
      <c r="F5" s="168">
        <v>1000000</v>
      </c>
      <c r="G5" s="168">
        <v>1000000</v>
      </c>
      <c r="H5" s="168">
        <f>IF('実績確定用  (3)'!$I5="確定払","",'実績確定用  (3)'!$F5-'実績確定用  (3)'!$G5)</f>
        <v>0</v>
      </c>
      <c r="I5" s="190"/>
      <c r="J5" s="187"/>
      <c r="K5" s="168">
        <v>1000000</v>
      </c>
      <c r="L5" s="187"/>
      <c r="M5" s="168">
        <v>1000000</v>
      </c>
      <c r="N5" s="168">
        <f t="shared" si="0"/>
        <v>0</v>
      </c>
      <c r="O5" s="168">
        <f t="shared" si="1"/>
        <v>666000</v>
      </c>
    </row>
    <row r="6" spans="1:15" ht="25" customHeight="1">
      <c r="A6" s="170">
        <v>5</v>
      </c>
      <c r="B6" s="168" t="s">
        <v>185</v>
      </c>
      <c r="C6" s="168" t="s">
        <v>197</v>
      </c>
      <c r="D6" s="168" t="s">
        <v>900</v>
      </c>
      <c r="E6" s="168">
        <v>1000000</v>
      </c>
      <c r="F6" s="168">
        <v>1000000</v>
      </c>
      <c r="G6" s="168">
        <v>1000000</v>
      </c>
      <c r="H6" s="168">
        <f>IF('実績確定用  (3)'!$I6="確定払","",'実績確定用  (3)'!$F6-'実績確定用  (3)'!$G6)</f>
        <v>0</v>
      </c>
      <c r="I6" s="191"/>
      <c r="J6" s="188"/>
      <c r="K6" s="168">
        <v>1000000</v>
      </c>
      <c r="L6" s="188"/>
      <c r="M6" s="168">
        <v>1000000</v>
      </c>
      <c r="N6" s="168">
        <f t="shared" si="0"/>
        <v>0</v>
      </c>
      <c r="O6" s="168">
        <f t="shared" si="1"/>
        <v>666000</v>
      </c>
    </row>
    <row r="7" spans="1:15" ht="25" customHeight="1">
      <c r="A7" s="170">
        <v>6</v>
      </c>
      <c r="B7" s="168" t="s">
        <v>199</v>
      </c>
      <c r="C7" s="168" t="s">
        <v>200</v>
      </c>
      <c r="D7" s="168" t="s">
        <v>899</v>
      </c>
      <c r="E7" s="168">
        <v>1000000</v>
      </c>
      <c r="F7" s="168">
        <v>1000000</v>
      </c>
      <c r="G7" s="168">
        <v>1000000</v>
      </c>
      <c r="H7" s="168">
        <f>IF('実績確定用  (3)'!$I7="確定払","",'実績確定用  (3)'!$F7-'実績確定用  (3)'!$G7)</f>
        <v>0</v>
      </c>
      <c r="I7" s="189" t="s">
        <v>895</v>
      </c>
      <c r="J7" s="186">
        <v>44767</v>
      </c>
      <c r="K7" s="168">
        <v>1000000</v>
      </c>
      <c r="L7" s="186">
        <v>44951</v>
      </c>
      <c r="M7" s="168">
        <v>1000000</v>
      </c>
      <c r="N7" s="168">
        <f t="shared" si="0"/>
        <v>0</v>
      </c>
      <c r="O7" s="168">
        <f t="shared" si="1"/>
        <v>666000</v>
      </c>
    </row>
    <row r="8" spans="1:15" ht="25" customHeight="1">
      <c r="A8" s="170">
        <v>7</v>
      </c>
      <c r="B8" s="168" t="s">
        <v>199</v>
      </c>
      <c r="C8" s="168" t="s">
        <v>203</v>
      </c>
      <c r="D8" s="168" t="s">
        <v>899</v>
      </c>
      <c r="E8" s="168">
        <v>1000000</v>
      </c>
      <c r="F8" s="168">
        <v>1000000</v>
      </c>
      <c r="G8" s="168">
        <v>1000000</v>
      </c>
      <c r="H8" s="168">
        <f>IF('実績確定用  (3)'!$I8="確定払","",'実績確定用  (3)'!$F8-'実績確定用  (3)'!$G8)</f>
        <v>0</v>
      </c>
      <c r="I8" s="190"/>
      <c r="J8" s="187"/>
      <c r="K8" s="168">
        <v>1000000</v>
      </c>
      <c r="L8" s="187"/>
      <c r="M8" s="168">
        <v>1000000</v>
      </c>
      <c r="N8" s="168">
        <f t="shared" si="0"/>
        <v>0</v>
      </c>
      <c r="O8" s="168">
        <f t="shared" si="1"/>
        <v>666000</v>
      </c>
    </row>
    <row r="9" spans="1:15" ht="25" customHeight="1">
      <c r="A9" s="170">
        <v>8</v>
      </c>
      <c r="B9" s="168" t="s">
        <v>199</v>
      </c>
      <c r="C9" s="168" t="s">
        <v>204</v>
      </c>
      <c r="D9" s="168" t="s">
        <v>899</v>
      </c>
      <c r="E9" s="168">
        <v>1000000</v>
      </c>
      <c r="F9" s="168">
        <v>1000000</v>
      </c>
      <c r="G9" s="168">
        <v>1000000</v>
      </c>
      <c r="H9" s="168">
        <f>IF('実績確定用  (3)'!$I9="確定払","",'実績確定用  (3)'!$F9-'実績確定用  (3)'!$G9)</f>
        <v>0</v>
      </c>
      <c r="I9" s="191"/>
      <c r="J9" s="188"/>
      <c r="K9" s="168">
        <v>1000000</v>
      </c>
      <c r="L9" s="188"/>
      <c r="M9" s="168">
        <v>1000000</v>
      </c>
      <c r="N9" s="168">
        <f t="shared" si="0"/>
        <v>0</v>
      </c>
      <c r="O9" s="168">
        <f t="shared" si="1"/>
        <v>666000</v>
      </c>
    </row>
    <row r="10" spans="1:15" ht="25" customHeight="1">
      <c r="A10" s="170">
        <v>9</v>
      </c>
      <c r="B10" s="168" t="s">
        <v>903</v>
      </c>
      <c r="C10" s="168" t="s">
        <v>202</v>
      </c>
      <c r="D10" s="168" t="s">
        <v>900</v>
      </c>
      <c r="E10" s="168">
        <v>658000</v>
      </c>
      <c r="F10" s="168">
        <v>658000</v>
      </c>
      <c r="G10" s="168">
        <v>658000</v>
      </c>
      <c r="H10" s="168">
        <f>IF('実績確定用  (3)'!$I10="確定払","",'実績確定用  (3)'!$F10-'実績確定用  (3)'!$G10)</f>
        <v>0</v>
      </c>
      <c r="I10" s="169" t="s">
        <v>895</v>
      </c>
      <c r="J10" s="171">
        <v>44776</v>
      </c>
      <c r="K10" s="168">
        <v>658000</v>
      </c>
      <c r="L10" s="171">
        <v>44951</v>
      </c>
      <c r="M10" s="168">
        <v>658000</v>
      </c>
      <c r="N10" s="168">
        <f t="shared" si="0"/>
        <v>0</v>
      </c>
      <c r="O10" s="168">
        <f t="shared" si="1"/>
        <v>438000</v>
      </c>
    </row>
    <row r="11" spans="1:15" ht="25" customHeight="1">
      <c r="A11" s="170">
        <v>10</v>
      </c>
      <c r="B11" s="168" t="s">
        <v>669</v>
      </c>
      <c r="C11" s="168" t="s">
        <v>677</v>
      </c>
      <c r="D11" s="168" t="s">
        <v>675</v>
      </c>
      <c r="E11" s="168">
        <v>1000000</v>
      </c>
      <c r="F11" s="168">
        <v>1000000</v>
      </c>
      <c r="G11" s="168">
        <v>1000000</v>
      </c>
      <c r="H11" s="168">
        <f>IF('実績確定用  (3)'!$I11="確定払","",'実績確定用  (3)'!$F11-'実績確定用  (3)'!$G11)</f>
        <v>0</v>
      </c>
      <c r="I11" s="189" t="s">
        <v>895</v>
      </c>
      <c r="J11" s="186">
        <v>44797</v>
      </c>
      <c r="K11" s="168">
        <v>1000000</v>
      </c>
      <c r="L11" s="186" t="s">
        <v>922</v>
      </c>
      <c r="M11" s="168">
        <v>1000000</v>
      </c>
      <c r="N11" s="168">
        <f t="shared" si="0"/>
        <v>0</v>
      </c>
      <c r="O11" s="168">
        <f t="shared" si="1"/>
        <v>666000</v>
      </c>
    </row>
    <row r="12" spans="1:15" ht="25" customHeight="1">
      <c r="A12" s="170">
        <v>11</v>
      </c>
      <c r="B12" s="168" t="s">
        <v>682</v>
      </c>
      <c r="C12" s="168" t="s">
        <v>206</v>
      </c>
      <c r="D12" s="168" t="s">
        <v>688</v>
      </c>
      <c r="E12" s="168">
        <v>155802</v>
      </c>
      <c r="F12" s="168">
        <v>155000</v>
      </c>
      <c r="G12" s="168">
        <v>151000</v>
      </c>
      <c r="H12" s="168">
        <f>IF('実績確定用  (3)'!$I12="確定払","",'実績確定用  (3)'!$F12-'実績確定用  (3)'!$G12)</f>
        <v>4000</v>
      </c>
      <c r="I12" s="190"/>
      <c r="J12" s="187"/>
      <c r="K12" s="168">
        <v>155000</v>
      </c>
      <c r="L12" s="187"/>
      <c r="M12" s="168">
        <v>151000</v>
      </c>
      <c r="N12" s="168">
        <f t="shared" si="0"/>
        <v>-4000</v>
      </c>
      <c r="O12" s="168">
        <f t="shared" si="1"/>
        <v>100000</v>
      </c>
    </row>
    <row r="13" spans="1:15" ht="25" customHeight="1">
      <c r="A13" s="170">
        <v>12</v>
      </c>
      <c r="B13" s="168" t="s">
        <v>682</v>
      </c>
      <c r="C13" s="168" t="s">
        <v>210</v>
      </c>
      <c r="D13" s="168" t="s">
        <v>688</v>
      </c>
      <c r="E13" s="168">
        <v>461119</v>
      </c>
      <c r="F13" s="168">
        <v>463000</v>
      </c>
      <c r="G13" s="168">
        <v>463000</v>
      </c>
      <c r="H13" s="168">
        <f>IF('実績確定用  (3)'!$I13="確定払","",'実績確定用  (3)'!$F13-'実績確定用  (3)'!$G13)</f>
        <v>0</v>
      </c>
      <c r="I13" s="190"/>
      <c r="J13" s="187"/>
      <c r="K13" s="174">
        <v>461000</v>
      </c>
      <c r="L13" s="187"/>
      <c r="M13" s="168">
        <v>463000</v>
      </c>
      <c r="N13" s="168">
        <f t="shared" si="0"/>
        <v>2000</v>
      </c>
      <c r="O13" s="168">
        <f t="shared" si="1"/>
        <v>308000</v>
      </c>
    </row>
    <row r="14" spans="1:15" ht="25" customHeight="1">
      <c r="A14" s="170">
        <v>13</v>
      </c>
      <c r="B14" s="168" t="s">
        <v>682</v>
      </c>
      <c r="C14" s="168" t="s">
        <v>697</v>
      </c>
      <c r="D14" s="168" t="s">
        <v>695</v>
      </c>
      <c r="E14" s="168">
        <v>1000000</v>
      </c>
      <c r="F14" s="168">
        <v>1000000</v>
      </c>
      <c r="G14" s="168">
        <v>971000</v>
      </c>
      <c r="H14" s="168">
        <f>IF('実績確定用  (3)'!$I14="確定払","",'実績確定用  (3)'!$F14-'実績確定用  (3)'!$G14)</f>
        <v>29000</v>
      </c>
      <c r="I14" s="190"/>
      <c r="J14" s="187"/>
      <c r="K14" s="168">
        <v>1000000</v>
      </c>
      <c r="L14" s="187"/>
      <c r="M14" s="168">
        <v>971000</v>
      </c>
      <c r="N14" s="168">
        <f t="shared" si="0"/>
        <v>-29000</v>
      </c>
      <c r="O14" s="168">
        <f t="shared" si="1"/>
        <v>647000</v>
      </c>
    </row>
    <row r="15" spans="1:15" ht="25" customHeight="1">
      <c r="A15" s="170">
        <v>14</v>
      </c>
      <c r="B15" s="168" t="s">
        <v>682</v>
      </c>
      <c r="C15" s="168" t="s">
        <v>701</v>
      </c>
      <c r="D15" s="168" t="s">
        <v>695</v>
      </c>
      <c r="E15" s="168">
        <v>637422</v>
      </c>
      <c r="F15" s="168">
        <v>637000</v>
      </c>
      <c r="G15" s="168">
        <v>635000</v>
      </c>
      <c r="H15" s="168">
        <f>IF('実績確定用  (3)'!$I15="確定払","",'実績確定用  (3)'!$F15-'実績確定用  (3)'!$G15)</f>
        <v>2000</v>
      </c>
      <c r="I15" s="190"/>
      <c r="J15" s="187"/>
      <c r="K15" s="168">
        <v>637000</v>
      </c>
      <c r="L15" s="187"/>
      <c r="M15" s="168">
        <v>635000</v>
      </c>
      <c r="N15" s="168">
        <f t="shared" si="0"/>
        <v>-2000</v>
      </c>
      <c r="O15" s="168">
        <f t="shared" si="1"/>
        <v>423000</v>
      </c>
    </row>
    <row r="16" spans="1:15" ht="25" customHeight="1">
      <c r="A16" s="170">
        <v>15</v>
      </c>
      <c r="B16" s="168" t="s">
        <v>682</v>
      </c>
      <c r="C16" s="168" t="s">
        <v>704</v>
      </c>
      <c r="D16" s="168" t="s">
        <v>695</v>
      </c>
      <c r="E16" s="168">
        <v>643286</v>
      </c>
      <c r="F16" s="168">
        <v>643000</v>
      </c>
      <c r="G16" s="168">
        <v>618000</v>
      </c>
      <c r="H16" s="168">
        <f>IF('実績確定用  (3)'!$I16="確定払","",'実績確定用  (3)'!$F16-'実績確定用  (3)'!$G16)</f>
        <v>25000</v>
      </c>
      <c r="I16" s="190"/>
      <c r="J16" s="187"/>
      <c r="K16" s="168">
        <v>643000</v>
      </c>
      <c r="L16" s="187"/>
      <c r="M16" s="168">
        <v>618000</v>
      </c>
      <c r="N16" s="168">
        <f t="shared" si="0"/>
        <v>-25000</v>
      </c>
      <c r="O16" s="168">
        <f t="shared" si="1"/>
        <v>412000</v>
      </c>
    </row>
    <row r="17" spans="1:15" ht="25" customHeight="1">
      <c r="A17" s="170">
        <v>16</v>
      </c>
      <c r="B17" s="168" t="s">
        <v>682</v>
      </c>
      <c r="C17" s="168" t="s">
        <v>707</v>
      </c>
      <c r="D17" s="168" t="s">
        <v>695</v>
      </c>
      <c r="E17" s="168">
        <v>918308</v>
      </c>
      <c r="F17" s="168">
        <v>918000</v>
      </c>
      <c r="G17" s="168">
        <v>911000</v>
      </c>
      <c r="H17" s="168">
        <f>IF('実績確定用  (3)'!$I17="確定払","",'実績確定用  (3)'!$F17-'実績確定用  (3)'!$G17)</f>
        <v>7000</v>
      </c>
      <c r="I17" s="190"/>
      <c r="J17" s="187"/>
      <c r="K17" s="168">
        <v>918000</v>
      </c>
      <c r="L17" s="187"/>
      <c r="M17" s="168">
        <v>911000</v>
      </c>
      <c r="N17" s="168">
        <f t="shared" si="0"/>
        <v>-7000</v>
      </c>
      <c r="O17" s="168">
        <f t="shared" si="1"/>
        <v>607000</v>
      </c>
    </row>
    <row r="18" spans="1:15" ht="25" customHeight="1">
      <c r="A18" s="170">
        <v>17</v>
      </c>
      <c r="B18" s="168" t="s">
        <v>682</v>
      </c>
      <c r="C18" s="168" t="s">
        <v>712</v>
      </c>
      <c r="D18" s="168" t="s">
        <v>710</v>
      </c>
      <c r="E18" s="168">
        <v>858045</v>
      </c>
      <c r="F18" s="168">
        <v>922000</v>
      </c>
      <c r="G18" s="168">
        <v>922000</v>
      </c>
      <c r="H18" s="168">
        <f>IF('実績確定用  (3)'!$I18="確定払","",'実績確定用  (3)'!$F18-'実績確定用  (3)'!$G18)</f>
        <v>0</v>
      </c>
      <c r="I18" s="190"/>
      <c r="J18" s="187"/>
      <c r="K18" s="174">
        <v>858000</v>
      </c>
      <c r="L18" s="187"/>
      <c r="M18" s="168">
        <v>922000</v>
      </c>
      <c r="N18" s="168">
        <f t="shared" si="0"/>
        <v>64000</v>
      </c>
      <c r="O18" s="168">
        <f t="shared" si="1"/>
        <v>614000</v>
      </c>
    </row>
    <row r="19" spans="1:15" ht="25" customHeight="1">
      <c r="A19" s="170">
        <v>18</v>
      </c>
      <c r="B19" s="168" t="s">
        <v>715</v>
      </c>
      <c r="C19" s="168" t="s">
        <v>719</v>
      </c>
      <c r="D19" s="168" t="s">
        <v>717</v>
      </c>
      <c r="E19" s="168">
        <v>554601</v>
      </c>
      <c r="F19" s="168">
        <v>554000</v>
      </c>
      <c r="G19" s="168">
        <v>551000</v>
      </c>
      <c r="H19" s="168">
        <f>IF('実績確定用  (3)'!$I19="確定払","",'実績確定用  (3)'!$F19-'実績確定用  (3)'!$G19)</f>
        <v>3000</v>
      </c>
      <c r="I19" s="190"/>
      <c r="J19" s="187"/>
      <c r="K19" s="168">
        <v>554000</v>
      </c>
      <c r="L19" s="187"/>
      <c r="M19" s="168">
        <v>551000</v>
      </c>
      <c r="N19" s="168">
        <f t="shared" si="0"/>
        <v>-3000</v>
      </c>
      <c r="O19" s="168">
        <f t="shared" si="1"/>
        <v>367000</v>
      </c>
    </row>
    <row r="20" spans="1:15" ht="25" customHeight="1">
      <c r="A20" s="170">
        <v>19</v>
      </c>
      <c r="B20" s="168" t="s">
        <v>723</v>
      </c>
      <c r="C20" s="168" t="s">
        <v>234</v>
      </c>
      <c r="D20" s="168" t="s">
        <v>695</v>
      </c>
      <c r="E20" s="168">
        <v>1000000</v>
      </c>
      <c r="F20" s="168">
        <v>1000000</v>
      </c>
      <c r="G20" s="168">
        <v>1000000</v>
      </c>
      <c r="H20" s="168">
        <f>IF('実績確定用  (3)'!$I20="確定払","",'実績確定用  (3)'!$F20-'実績確定用  (3)'!$G20)</f>
        <v>0</v>
      </c>
      <c r="I20" s="190"/>
      <c r="J20" s="187"/>
      <c r="K20" s="168">
        <v>1000000</v>
      </c>
      <c r="L20" s="187"/>
      <c r="M20" s="168">
        <v>1000000</v>
      </c>
      <c r="N20" s="168">
        <f t="shared" si="0"/>
        <v>0</v>
      </c>
      <c r="O20" s="168">
        <f t="shared" si="1"/>
        <v>666000</v>
      </c>
    </row>
    <row r="21" spans="1:15" ht="25" customHeight="1">
      <c r="A21" s="170">
        <v>20</v>
      </c>
      <c r="B21" s="168" t="s">
        <v>903</v>
      </c>
      <c r="C21" s="168" t="s">
        <v>850</v>
      </c>
      <c r="D21" s="168" t="s">
        <v>717</v>
      </c>
      <c r="E21" s="168">
        <v>434000</v>
      </c>
      <c r="F21" s="168">
        <v>434000</v>
      </c>
      <c r="G21" s="168">
        <v>434000</v>
      </c>
      <c r="H21" s="168">
        <f>IF('実績確定用  (3)'!$I21="確定払","",'実績確定用  (3)'!$F21-'実績確定用  (3)'!$G21)</f>
        <v>0</v>
      </c>
      <c r="I21" s="190"/>
      <c r="J21" s="187"/>
      <c r="K21" s="168">
        <v>434000</v>
      </c>
      <c r="L21" s="187"/>
      <c r="M21" s="168">
        <v>434000</v>
      </c>
      <c r="N21" s="168">
        <f t="shared" si="0"/>
        <v>0</v>
      </c>
      <c r="O21" s="168">
        <f t="shared" si="1"/>
        <v>289000</v>
      </c>
    </row>
    <row r="22" spans="1:15" ht="25" customHeight="1">
      <c r="A22" s="170">
        <v>21</v>
      </c>
      <c r="B22" s="168" t="s">
        <v>903</v>
      </c>
      <c r="C22" s="168" t="s">
        <v>742</v>
      </c>
      <c r="D22" s="168" t="s">
        <v>710</v>
      </c>
      <c r="E22" s="168">
        <v>644000</v>
      </c>
      <c r="F22" s="168">
        <v>644000</v>
      </c>
      <c r="G22" s="168">
        <v>644000</v>
      </c>
      <c r="H22" s="168">
        <f>IF('実績確定用  (3)'!$I22="確定払","",'実績確定用  (3)'!$F22-'実績確定用  (3)'!$G22)</f>
        <v>0</v>
      </c>
      <c r="I22" s="190"/>
      <c r="J22" s="187"/>
      <c r="K22" s="168">
        <v>644000</v>
      </c>
      <c r="L22" s="187"/>
      <c r="M22" s="168">
        <v>644000</v>
      </c>
      <c r="N22" s="168">
        <f t="shared" si="0"/>
        <v>0</v>
      </c>
      <c r="O22" s="168">
        <f t="shared" si="1"/>
        <v>429000</v>
      </c>
    </row>
    <row r="23" spans="1:15" ht="25" customHeight="1">
      <c r="A23" s="170">
        <v>22</v>
      </c>
      <c r="B23" s="168" t="s">
        <v>745</v>
      </c>
      <c r="C23" s="168" t="s">
        <v>753</v>
      </c>
      <c r="D23" s="168" t="s">
        <v>751</v>
      </c>
      <c r="E23" s="168">
        <v>117696</v>
      </c>
      <c r="F23" s="168">
        <v>117000</v>
      </c>
      <c r="G23" s="168">
        <v>117000</v>
      </c>
      <c r="H23" s="168">
        <f>IF('実績確定用  (3)'!$I23="確定払","",'実績確定用  (3)'!$F23-'実績確定用  (3)'!$G23)</f>
        <v>0</v>
      </c>
      <c r="I23" s="190"/>
      <c r="J23" s="187"/>
      <c r="K23" s="168">
        <v>117000</v>
      </c>
      <c r="L23" s="187"/>
      <c r="M23" s="168">
        <v>117000</v>
      </c>
      <c r="N23" s="168">
        <f t="shared" si="0"/>
        <v>0</v>
      </c>
      <c r="O23" s="168">
        <f t="shared" si="1"/>
        <v>78000</v>
      </c>
    </row>
    <row r="24" spans="1:15" ht="25" customHeight="1">
      <c r="A24" s="170">
        <v>23</v>
      </c>
      <c r="B24" s="168" t="s">
        <v>756</v>
      </c>
      <c r="C24" s="168" t="s">
        <v>248</v>
      </c>
      <c r="D24" s="168" t="s">
        <v>695</v>
      </c>
      <c r="E24" s="168">
        <v>1000000</v>
      </c>
      <c r="F24" s="168">
        <v>1000000</v>
      </c>
      <c r="G24" s="168">
        <v>1000000</v>
      </c>
      <c r="H24" s="168">
        <f>IF('実績確定用  (3)'!$I24="確定払","",'実績確定用  (3)'!$F24-'実績確定用  (3)'!$G24)</f>
        <v>0</v>
      </c>
      <c r="I24" s="190"/>
      <c r="J24" s="187"/>
      <c r="K24" s="168">
        <v>1000000</v>
      </c>
      <c r="L24" s="187"/>
      <c r="M24" s="168">
        <v>1000000</v>
      </c>
      <c r="N24" s="168">
        <f t="shared" si="0"/>
        <v>0</v>
      </c>
      <c r="O24" s="168">
        <f t="shared" si="1"/>
        <v>666000</v>
      </c>
    </row>
    <row r="25" spans="1:15" ht="25" customHeight="1">
      <c r="A25" s="170">
        <v>24</v>
      </c>
      <c r="B25" s="168" t="s">
        <v>904</v>
      </c>
      <c r="C25" s="168" t="s">
        <v>240</v>
      </c>
      <c r="D25" s="168" t="s">
        <v>770</v>
      </c>
      <c r="E25" s="168">
        <v>184300</v>
      </c>
      <c r="F25" s="168">
        <v>184000</v>
      </c>
      <c r="G25" s="168">
        <v>184000</v>
      </c>
      <c r="H25" s="168">
        <f>IF('実績確定用  (3)'!$I25="確定払","",'実績確定用  (3)'!$F25-'実績確定用  (3)'!$G25)</f>
        <v>0</v>
      </c>
      <c r="I25" s="190"/>
      <c r="J25" s="187"/>
      <c r="K25" s="168">
        <v>184000</v>
      </c>
      <c r="L25" s="187"/>
      <c r="M25" s="168">
        <v>184000</v>
      </c>
      <c r="N25" s="168">
        <f t="shared" si="0"/>
        <v>0</v>
      </c>
      <c r="O25" s="168">
        <f t="shared" si="1"/>
        <v>122000</v>
      </c>
    </row>
    <row r="26" spans="1:15" ht="25" customHeight="1">
      <c r="A26" s="170">
        <v>25</v>
      </c>
      <c r="B26" s="168" t="s">
        <v>904</v>
      </c>
      <c r="C26" s="168" t="s">
        <v>242</v>
      </c>
      <c r="D26" s="168" t="s">
        <v>717</v>
      </c>
      <c r="E26" s="168">
        <v>37960</v>
      </c>
      <c r="F26" s="168">
        <v>37000</v>
      </c>
      <c r="G26" s="168">
        <v>37000</v>
      </c>
      <c r="H26" s="168">
        <f>IF('実績確定用  (3)'!$I26="確定払","",'実績確定用  (3)'!$F26-'実績確定用  (3)'!$G26)</f>
        <v>0</v>
      </c>
      <c r="I26" s="190"/>
      <c r="J26" s="187"/>
      <c r="K26" s="168">
        <v>37000</v>
      </c>
      <c r="L26" s="187"/>
      <c r="M26" s="168">
        <v>37000</v>
      </c>
      <c r="N26" s="168">
        <f t="shared" si="0"/>
        <v>0</v>
      </c>
      <c r="O26" s="168">
        <f t="shared" si="1"/>
        <v>24000</v>
      </c>
    </row>
    <row r="27" spans="1:15" ht="25" customHeight="1">
      <c r="A27" s="170">
        <v>26</v>
      </c>
      <c r="B27" s="168" t="s">
        <v>904</v>
      </c>
      <c r="C27" s="168" t="s">
        <v>779</v>
      </c>
      <c r="D27" s="168" t="s">
        <v>710</v>
      </c>
      <c r="E27" s="168">
        <v>75920</v>
      </c>
      <c r="F27" s="168">
        <v>75000</v>
      </c>
      <c r="G27" s="168">
        <v>75000</v>
      </c>
      <c r="H27" s="168">
        <f>IF('実績確定用  (3)'!$I27="確定払","",'実績確定用  (3)'!$F27-'実績確定用  (3)'!$G27)</f>
        <v>0</v>
      </c>
      <c r="I27" s="190"/>
      <c r="J27" s="187"/>
      <c r="K27" s="168">
        <v>75000</v>
      </c>
      <c r="L27" s="187"/>
      <c r="M27" s="168">
        <v>75000</v>
      </c>
      <c r="N27" s="168">
        <f t="shared" si="0"/>
        <v>0</v>
      </c>
      <c r="O27" s="168">
        <f t="shared" si="1"/>
        <v>50000</v>
      </c>
    </row>
    <row r="28" spans="1:15" ht="25" customHeight="1">
      <c r="A28" s="170">
        <v>27</v>
      </c>
      <c r="B28" s="168" t="s">
        <v>904</v>
      </c>
      <c r="C28" s="168" t="s">
        <v>237</v>
      </c>
      <c r="D28" s="168" t="s">
        <v>781</v>
      </c>
      <c r="E28" s="168">
        <v>330640</v>
      </c>
      <c r="F28" s="168">
        <v>330000</v>
      </c>
      <c r="G28" s="168">
        <v>330000</v>
      </c>
      <c r="H28" s="168">
        <f>IF('実績確定用  (3)'!$I28="確定払","",'実績確定用  (3)'!$F28-'実績確定用  (3)'!$G28)</f>
        <v>0</v>
      </c>
      <c r="I28" s="190"/>
      <c r="J28" s="187"/>
      <c r="K28" s="168">
        <v>330000</v>
      </c>
      <c r="L28" s="187"/>
      <c r="M28" s="168">
        <v>330000</v>
      </c>
      <c r="N28" s="168">
        <f t="shared" si="0"/>
        <v>0</v>
      </c>
      <c r="O28" s="168">
        <f t="shared" si="1"/>
        <v>220000</v>
      </c>
    </row>
    <row r="29" spans="1:15" ht="25" customHeight="1">
      <c r="A29" s="170">
        <v>28</v>
      </c>
      <c r="B29" s="168" t="s">
        <v>904</v>
      </c>
      <c r="C29" s="168" t="s">
        <v>238</v>
      </c>
      <c r="D29" s="168" t="s">
        <v>781</v>
      </c>
      <c r="E29" s="168">
        <v>233080</v>
      </c>
      <c r="F29" s="168">
        <v>233000</v>
      </c>
      <c r="G29" s="168">
        <v>233000</v>
      </c>
      <c r="H29" s="168">
        <f>IF('実績確定用  (3)'!$I29="確定払","",'実績確定用  (3)'!$F29-'実績確定用  (3)'!$G29)</f>
        <v>0</v>
      </c>
      <c r="I29" s="190"/>
      <c r="J29" s="187"/>
      <c r="K29" s="168">
        <v>233000</v>
      </c>
      <c r="L29" s="187"/>
      <c r="M29" s="168">
        <v>233000</v>
      </c>
      <c r="N29" s="168">
        <f t="shared" si="0"/>
        <v>0</v>
      </c>
      <c r="O29" s="168">
        <f t="shared" si="1"/>
        <v>155000</v>
      </c>
    </row>
    <row r="30" spans="1:15" ht="25" customHeight="1">
      <c r="A30" s="170">
        <v>29</v>
      </c>
      <c r="B30" s="168" t="s">
        <v>904</v>
      </c>
      <c r="C30" s="168" t="s">
        <v>239</v>
      </c>
      <c r="D30" s="168" t="s">
        <v>781</v>
      </c>
      <c r="E30" s="168">
        <v>281860</v>
      </c>
      <c r="F30" s="168">
        <v>281000</v>
      </c>
      <c r="G30" s="168">
        <v>281000</v>
      </c>
      <c r="H30" s="168">
        <f>IF('実績確定用  (3)'!$I30="確定払","",'実績確定用  (3)'!$F30-'実績確定用  (3)'!$G30)</f>
        <v>0</v>
      </c>
      <c r="I30" s="190"/>
      <c r="J30" s="187"/>
      <c r="K30" s="168">
        <v>281000</v>
      </c>
      <c r="L30" s="187"/>
      <c r="M30" s="168">
        <v>281000</v>
      </c>
      <c r="N30" s="168">
        <f t="shared" si="0"/>
        <v>0</v>
      </c>
      <c r="O30" s="168">
        <f t="shared" si="1"/>
        <v>187000</v>
      </c>
    </row>
    <row r="31" spans="1:15" ht="25" customHeight="1">
      <c r="A31" s="170">
        <v>30</v>
      </c>
      <c r="B31" s="168" t="s">
        <v>787</v>
      </c>
      <c r="C31" s="168" t="s">
        <v>243</v>
      </c>
      <c r="D31" s="168" t="s">
        <v>717</v>
      </c>
      <c r="E31" s="168">
        <v>611380</v>
      </c>
      <c r="F31" s="168">
        <v>611000</v>
      </c>
      <c r="G31" s="168">
        <v>611000</v>
      </c>
      <c r="H31" s="168">
        <f>IF('実績確定用  (3)'!$I31="確定払","",'実績確定用  (3)'!$F31-'実績確定用  (3)'!$G31)</f>
        <v>0</v>
      </c>
      <c r="I31" s="190"/>
      <c r="J31" s="187"/>
      <c r="K31" s="168">
        <v>611000</v>
      </c>
      <c r="L31" s="187"/>
      <c r="M31" s="168">
        <v>611000</v>
      </c>
      <c r="N31" s="168">
        <f t="shared" si="0"/>
        <v>0</v>
      </c>
      <c r="O31" s="168">
        <f t="shared" si="1"/>
        <v>407000</v>
      </c>
    </row>
    <row r="32" spans="1:15" ht="25" customHeight="1">
      <c r="A32" s="170">
        <v>31</v>
      </c>
      <c r="B32" s="168" t="s">
        <v>795</v>
      </c>
      <c r="C32" s="168" t="s">
        <v>801</v>
      </c>
      <c r="D32" s="168" t="s">
        <v>717</v>
      </c>
      <c r="E32" s="168">
        <v>666600</v>
      </c>
      <c r="F32" s="168">
        <v>666000</v>
      </c>
      <c r="G32" s="168">
        <v>666000</v>
      </c>
      <c r="H32" s="168">
        <f>IF('実績確定用  (3)'!$I32="確定払","",'実績確定用  (3)'!$F32-'実績確定用  (3)'!$G32)</f>
        <v>0</v>
      </c>
      <c r="I32" s="190"/>
      <c r="J32" s="187"/>
      <c r="K32" s="168">
        <v>666000</v>
      </c>
      <c r="L32" s="187"/>
      <c r="M32" s="168">
        <v>666000</v>
      </c>
      <c r="N32" s="168">
        <f t="shared" si="0"/>
        <v>0</v>
      </c>
      <c r="O32" s="168">
        <f t="shared" si="1"/>
        <v>444000</v>
      </c>
    </row>
    <row r="33" spans="1:15" ht="25" customHeight="1">
      <c r="A33" s="170">
        <v>32</v>
      </c>
      <c r="B33" s="168" t="s">
        <v>905</v>
      </c>
      <c r="C33" s="168" t="s">
        <v>810</v>
      </c>
      <c r="D33" s="168" t="s">
        <v>710</v>
      </c>
      <c r="E33" s="168">
        <v>772830</v>
      </c>
      <c r="F33" s="168">
        <v>774000</v>
      </c>
      <c r="G33" s="168">
        <v>774000</v>
      </c>
      <c r="H33" s="168">
        <f>IF('実績確定用  (3)'!$I33="確定払","",'実績確定用  (3)'!$F33-'実績確定用  (3)'!$G33)</f>
        <v>0</v>
      </c>
      <c r="I33" s="190"/>
      <c r="J33" s="187"/>
      <c r="K33" s="174">
        <v>772000</v>
      </c>
      <c r="L33" s="187"/>
      <c r="M33" s="168">
        <v>774000</v>
      </c>
      <c r="N33" s="168">
        <f t="shared" si="0"/>
        <v>2000</v>
      </c>
      <c r="O33" s="168">
        <f t="shared" si="1"/>
        <v>516000</v>
      </c>
    </row>
    <row r="34" spans="1:15" ht="25" customHeight="1">
      <c r="A34" s="170">
        <v>33</v>
      </c>
      <c r="B34" s="168" t="s">
        <v>813</v>
      </c>
      <c r="C34" s="168" t="s">
        <v>819</v>
      </c>
      <c r="D34" s="168" t="s">
        <v>710</v>
      </c>
      <c r="E34" s="168">
        <v>199100</v>
      </c>
      <c r="F34" s="168">
        <v>199000</v>
      </c>
      <c r="G34" s="168">
        <v>199000</v>
      </c>
      <c r="H34" s="168">
        <f>IF('実績確定用  (3)'!$I34="確定払","",'実績確定用  (3)'!$F34-'実績確定用  (3)'!$G34)</f>
        <v>0</v>
      </c>
      <c r="I34" s="190"/>
      <c r="J34" s="187"/>
      <c r="K34" s="168">
        <v>199000</v>
      </c>
      <c r="L34" s="187"/>
      <c r="M34" s="168">
        <v>199000</v>
      </c>
      <c r="N34" s="168">
        <f t="shared" si="0"/>
        <v>0</v>
      </c>
      <c r="O34" s="168">
        <f t="shared" si="1"/>
        <v>132000</v>
      </c>
    </row>
    <row r="35" spans="1:15" ht="25" customHeight="1">
      <c r="A35" s="170">
        <v>34</v>
      </c>
      <c r="B35" s="168" t="s">
        <v>224</v>
      </c>
      <c r="C35" s="168" t="s">
        <v>827</v>
      </c>
      <c r="D35" s="168" t="s">
        <v>781</v>
      </c>
      <c r="E35" s="168">
        <v>863614</v>
      </c>
      <c r="F35" s="168">
        <v>863000</v>
      </c>
      <c r="G35" s="168">
        <v>863000</v>
      </c>
      <c r="H35" s="168">
        <f>IF('実績確定用  (3)'!$I35="確定払","",'実績確定用  (3)'!$F35-'実績確定用  (3)'!$G35)</f>
        <v>0</v>
      </c>
      <c r="I35" s="190"/>
      <c r="J35" s="187"/>
      <c r="K35" s="168">
        <v>863000</v>
      </c>
      <c r="L35" s="187"/>
      <c r="M35" s="168">
        <v>863000</v>
      </c>
      <c r="N35" s="168">
        <f t="shared" si="0"/>
        <v>0</v>
      </c>
      <c r="O35" s="168">
        <f t="shared" si="1"/>
        <v>575000</v>
      </c>
    </row>
    <row r="36" spans="1:15" ht="25" customHeight="1">
      <c r="A36" s="170">
        <v>35</v>
      </c>
      <c r="B36" s="168" t="s">
        <v>830</v>
      </c>
      <c r="C36" s="168" t="s">
        <v>250</v>
      </c>
      <c r="D36" s="168" t="s">
        <v>781</v>
      </c>
      <c r="E36" s="168">
        <v>1000000</v>
      </c>
      <c r="F36" s="168">
        <v>1000000</v>
      </c>
      <c r="G36" s="168">
        <v>1000000</v>
      </c>
      <c r="H36" s="168">
        <f>IF('実績確定用  (3)'!$I36="確定払","",'実績確定用  (3)'!$F36-'実績確定用  (3)'!$G36)</f>
        <v>0</v>
      </c>
      <c r="I36" s="190"/>
      <c r="J36" s="187"/>
      <c r="K36" s="168">
        <v>1000000</v>
      </c>
      <c r="L36" s="187"/>
      <c r="M36" s="168">
        <v>1000000</v>
      </c>
      <c r="N36" s="168">
        <f t="shared" si="0"/>
        <v>0</v>
      </c>
      <c r="O36" s="168">
        <f t="shared" si="1"/>
        <v>666000</v>
      </c>
    </row>
    <row r="37" spans="1:15" ht="25" customHeight="1">
      <c r="A37" s="170">
        <v>36</v>
      </c>
      <c r="B37" s="168" t="s">
        <v>830</v>
      </c>
      <c r="C37" s="168" t="s">
        <v>252</v>
      </c>
      <c r="D37" s="168" t="s">
        <v>837</v>
      </c>
      <c r="E37" s="168">
        <v>1000000</v>
      </c>
      <c r="F37" s="168">
        <v>1000000</v>
      </c>
      <c r="G37" s="168">
        <v>1000000</v>
      </c>
      <c r="H37" s="168">
        <f>IF('実績確定用  (3)'!$I37="確定払","",'実績確定用  (3)'!$F37-'実績確定用  (3)'!$G37)</f>
        <v>0</v>
      </c>
      <c r="I37" s="190"/>
      <c r="J37" s="187"/>
      <c r="K37" s="168">
        <v>1000000</v>
      </c>
      <c r="L37" s="187"/>
      <c r="M37" s="168">
        <v>1000000</v>
      </c>
      <c r="N37" s="168">
        <f t="shared" si="0"/>
        <v>0</v>
      </c>
      <c r="O37" s="168">
        <f t="shared" si="1"/>
        <v>666000</v>
      </c>
    </row>
    <row r="38" spans="1:15" ht="25" customHeight="1">
      <c r="A38" s="170">
        <v>37</v>
      </c>
      <c r="B38" s="168" t="s">
        <v>830</v>
      </c>
      <c r="C38" s="168" t="s">
        <v>537</v>
      </c>
      <c r="D38" s="168" t="s">
        <v>781</v>
      </c>
      <c r="E38" s="168">
        <v>1000000</v>
      </c>
      <c r="F38" s="168">
        <v>1000000</v>
      </c>
      <c r="G38" s="168">
        <v>1000000</v>
      </c>
      <c r="H38" s="168">
        <f>IF('実績確定用  (3)'!$I38="確定払","",'実績確定用  (3)'!$F38-'実績確定用  (3)'!$G38)</f>
        <v>0</v>
      </c>
      <c r="I38" s="190"/>
      <c r="J38" s="187"/>
      <c r="K38" s="168">
        <v>1000000</v>
      </c>
      <c r="L38" s="187"/>
      <c r="M38" s="168">
        <v>1000000</v>
      </c>
      <c r="N38" s="168">
        <f t="shared" si="0"/>
        <v>0</v>
      </c>
      <c r="O38" s="168">
        <f t="shared" si="1"/>
        <v>666000</v>
      </c>
    </row>
    <row r="39" spans="1:15" ht="25" customHeight="1">
      <c r="A39" s="170">
        <v>38</v>
      </c>
      <c r="B39" s="168" t="s">
        <v>830</v>
      </c>
      <c r="C39" s="168" t="s">
        <v>543</v>
      </c>
      <c r="D39" s="168" t="s">
        <v>781</v>
      </c>
      <c r="E39" s="168">
        <v>1000000</v>
      </c>
      <c r="F39" s="168">
        <v>1000000</v>
      </c>
      <c r="G39" s="168">
        <v>1000000</v>
      </c>
      <c r="H39" s="168">
        <f>IF('実績確定用  (3)'!$I39="確定払","",'実績確定用  (3)'!$F39-'実績確定用  (3)'!$G39)</f>
        <v>0</v>
      </c>
      <c r="I39" s="190"/>
      <c r="J39" s="187"/>
      <c r="K39" s="168">
        <v>1000000</v>
      </c>
      <c r="L39" s="187"/>
      <c r="M39" s="168">
        <v>1000000</v>
      </c>
      <c r="N39" s="168">
        <f t="shared" si="0"/>
        <v>0</v>
      </c>
      <c r="O39" s="168">
        <f t="shared" si="1"/>
        <v>666000</v>
      </c>
    </row>
    <row r="40" spans="1:15" ht="25" customHeight="1">
      <c r="A40" s="170">
        <v>39</v>
      </c>
      <c r="B40" s="168" t="s">
        <v>830</v>
      </c>
      <c r="C40" s="168" t="s">
        <v>548</v>
      </c>
      <c r="D40" s="168" t="s">
        <v>781</v>
      </c>
      <c r="E40" s="168">
        <v>1000000</v>
      </c>
      <c r="F40" s="168">
        <v>1000000</v>
      </c>
      <c r="G40" s="168">
        <v>1000000</v>
      </c>
      <c r="H40" s="168">
        <f>IF('実績確定用  (3)'!$I40="確定払","",'実績確定用  (3)'!$F40-'実績確定用  (3)'!$G40)</f>
        <v>0</v>
      </c>
      <c r="I40" s="190"/>
      <c r="J40" s="187"/>
      <c r="K40" s="168">
        <v>1000000</v>
      </c>
      <c r="L40" s="187"/>
      <c r="M40" s="168">
        <v>1000000</v>
      </c>
      <c r="N40" s="168">
        <f t="shared" si="0"/>
        <v>0</v>
      </c>
      <c r="O40" s="168">
        <f t="shared" si="1"/>
        <v>666000</v>
      </c>
    </row>
    <row r="41" spans="1:15" ht="25" customHeight="1">
      <c r="A41" s="170">
        <v>40</v>
      </c>
      <c r="B41" s="168" t="s">
        <v>830</v>
      </c>
      <c r="C41" s="168" t="s">
        <v>613</v>
      </c>
      <c r="D41" s="168" t="s">
        <v>837</v>
      </c>
      <c r="E41" s="168">
        <v>1000000</v>
      </c>
      <c r="F41" s="168">
        <v>1000000</v>
      </c>
      <c r="G41" s="168">
        <v>1000000</v>
      </c>
      <c r="H41" s="168">
        <f>IF('実績確定用  (3)'!$I41="確定払","",'実績確定用  (3)'!$F41-'実績確定用  (3)'!$G41)</f>
        <v>0</v>
      </c>
      <c r="I41" s="190"/>
      <c r="J41" s="187"/>
      <c r="K41" s="168">
        <v>1000000</v>
      </c>
      <c r="L41" s="187"/>
      <c r="M41" s="168">
        <v>1000000</v>
      </c>
      <c r="N41" s="168">
        <f t="shared" si="0"/>
        <v>0</v>
      </c>
      <c r="O41" s="168">
        <f t="shared" si="1"/>
        <v>666000</v>
      </c>
    </row>
    <row r="42" spans="1:15" ht="25" customHeight="1">
      <c r="A42" s="170">
        <v>41</v>
      </c>
      <c r="B42" s="168" t="s">
        <v>906</v>
      </c>
      <c r="C42" s="168" t="s">
        <v>846</v>
      </c>
      <c r="D42" s="168" t="s">
        <v>688</v>
      </c>
      <c r="E42" s="168">
        <v>1000000</v>
      </c>
      <c r="F42" s="168">
        <v>1000000</v>
      </c>
      <c r="G42" s="168">
        <v>865000</v>
      </c>
      <c r="H42" s="168">
        <f>IF('実績確定用  (3)'!$I42="確定払","",'実績確定用  (3)'!$F42-'実績確定用  (3)'!$G42)</f>
        <v>135000</v>
      </c>
      <c r="I42" s="191"/>
      <c r="J42" s="188"/>
      <c r="K42" s="168">
        <v>1000000</v>
      </c>
      <c r="L42" s="188"/>
      <c r="M42" s="168">
        <v>865000</v>
      </c>
      <c r="N42" s="168">
        <f t="shared" si="0"/>
        <v>-135000</v>
      </c>
      <c r="O42" s="168">
        <f t="shared" si="1"/>
        <v>576000</v>
      </c>
    </row>
    <row r="43" spans="1:15" ht="25" customHeight="1">
      <c r="A43" s="170">
        <v>42</v>
      </c>
      <c r="B43" s="168" t="s">
        <v>187</v>
      </c>
      <c r="C43" s="168" t="s">
        <v>188</v>
      </c>
      <c r="D43" s="168" t="s">
        <v>899</v>
      </c>
      <c r="E43" s="168">
        <v>281400</v>
      </c>
      <c r="F43" s="168">
        <v>281000</v>
      </c>
      <c r="G43" s="168">
        <v>281000</v>
      </c>
      <c r="H43" s="168">
        <f>IF('実績確定用  (3)'!$I43="確定払","",'実績確定用  (3)'!$F43-'実績確定用  (3)'!$G43)</f>
        <v>0</v>
      </c>
      <c r="I43" s="189" t="s">
        <v>913</v>
      </c>
      <c r="J43" s="186">
        <v>44883</v>
      </c>
      <c r="K43" s="168">
        <v>281000</v>
      </c>
      <c r="L43" s="186">
        <v>44883</v>
      </c>
      <c r="M43" s="168">
        <v>281000</v>
      </c>
      <c r="N43" s="192"/>
      <c r="O43" s="168">
        <f t="shared" si="1"/>
        <v>187000</v>
      </c>
    </row>
    <row r="44" spans="1:15" ht="25" customHeight="1">
      <c r="A44" s="170">
        <v>43</v>
      </c>
      <c r="B44" s="168" t="s">
        <v>113</v>
      </c>
      <c r="C44" s="168" t="s">
        <v>348</v>
      </c>
      <c r="D44" s="168" t="s">
        <v>899</v>
      </c>
      <c r="E44" s="168">
        <v>670450</v>
      </c>
      <c r="F44" s="168">
        <v>670000</v>
      </c>
      <c r="G44" s="168">
        <v>670000</v>
      </c>
      <c r="H44" s="168">
        <f>IF('実績確定用  (3)'!$I44="確定払","",'実績確定用  (3)'!$F44-'実績確定用  (3)'!$G44)</f>
        <v>0</v>
      </c>
      <c r="I44" s="190"/>
      <c r="J44" s="187"/>
      <c r="K44" s="168">
        <v>670000</v>
      </c>
      <c r="L44" s="187"/>
      <c r="M44" s="168">
        <v>670000</v>
      </c>
      <c r="N44" s="193"/>
      <c r="O44" s="168">
        <f t="shared" si="1"/>
        <v>446000</v>
      </c>
    </row>
    <row r="45" spans="1:15" ht="25" customHeight="1">
      <c r="A45" s="170">
        <v>44</v>
      </c>
      <c r="B45" s="168" t="s">
        <v>113</v>
      </c>
      <c r="C45" s="168" t="s">
        <v>117</v>
      </c>
      <c r="D45" s="168" t="s">
        <v>901</v>
      </c>
      <c r="E45" s="168">
        <v>776820</v>
      </c>
      <c r="F45" s="168">
        <v>776000</v>
      </c>
      <c r="G45" s="168">
        <v>755000</v>
      </c>
      <c r="H45" s="168">
        <f>IF('実績確定用  (3)'!$I45="確定払","",'実績確定用  (3)'!$F45-'実績確定用  (3)'!$G45)</f>
        <v>21000</v>
      </c>
      <c r="I45" s="190"/>
      <c r="J45" s="187"/>
      <c r="K45" s="168">
        <v>776000</v>
      </c>
      <c r="L45" s="187"/>
      <c r="M45" s="168">
        <v>755000</v>
      </c>
      <c r="N45" s="193"/>
      <c r="O45" s="168">
        <f t="shared" si="1"/>
        <v>503000</v>
      </c>
    </row>
    <row r="46" spans="1:15" ht="25" customHeight="1">
      <c r="A46" s="170">
        <v>45</v>
      </c>
      <c r="B46" s="168" t="s">
        <v>113</v>
      </c>
      <c r="C46" s="168" t="s">
        <v>184</v>
      </c>
      <c r="D46" s="168" t="s">
        <v>900</v>
      </c>
      <c r="E46" s="168">
        <v>1000000</v>
      </c>
      <c r="F46" s="168">
        <v>1000000</v>
      </c>
      <c r="G46" s="168">
        <v>1000000</v>
      </c>
      <c r="H46" s="168">
        <f>IF('実績確定用  (3)'!$I46="確定払","",'実績確定用  (3)'!$F46-'実績確定用  (3)'!$G46)</f>
        <v>0</v>
      </c>
      <c r="I46" s="190"/>
      <c r="J46" s="187"/>
      <c r="K46" s="168">
        <v>1000000</v>
      </c>
      <c r="L46" s="187"/>
      <c r="M46" s="168">
        <v>1000000</v>
      </c>
      <c r="N46" s="193"/>
      <c r="O46" s="168">
        <f t="shared" si="1"/>
        <v>666000</v>
      </c>
    </row>
    <row r="47" spans="1:15" ht="24.75" customHeight="1">
      <c r="A47" s="170">
        <v>46</v>
      </c>
      <c r="B47" s="168" t="s">
        <v>181</v>
      </c>
      <c r="C47" s="168" t="s">
        <v>182</v>
      </c>
      <c r="D47" s="168" t="s">
        <v>900</v>
      </c>
      <c r="E47" s="168">
        <v>747130</v>
      </c>
      <c r="F47" s="168">
        <v>747000</v>
      </c>
      <c r="G47" s="168">
        <v>747000</v>
      </c>
      <c r="H47" s="168">
        <f>IF('実績確定用  (3)'!$I47="確定払","",'実績確定用  (3)'!$F47-'実績確定用  (3)'!$G47)</f>
        <v>0</v>
      </c>
      <c r="I47" s="191"/>
      <c r="J47" s="188"/>
      <c r="K47" s="168">
        <v>747000</v>
      </c>
      <c r="L47" s="188"/>
      <c r="M47" s="168">
        <v>747000</v>
      </c>
      <c r="N47" s="194"/>
      <c r="O47" s="168">
        <f t="shared" si="1"/>
        <v>498000</v>
      </c>
    </row>
    <row r="48" spans="1:15" s="164" customFormat="1" ht="30" customHeight="1">
      <c r="A48" s="166"/>
      <c r="B48" s="166"/>
      <c r="C48" s="166"/>
      <c r="D48" s="166"/>
      <c r="E48" s="166"/>
      <c r="F48" s="166">
        <f>SUBTOTAL(109,'実績確定用  (3)'!$F$2:$F$47)</f>
        <v>32379000</v>
      </c>
      <c r="G48" s="166">
        <f>SUBTOTAL(109,'実績確定用  (3)'!$G$2:$G$47)</f>
        <v>32153000</v>
      </c>
      <c r="H48" s="166">
        <f>SUBTOTAL(109,'実績確定用  (3)'!$H$2:$H$47)</f>
        <v>226000</v>
      </c>
      <c r="I48" s="166"/>
      <c r="J48" s="167"/>
      <c r="K48" s="167">
        <f>SUBTOTAL(109,K2:K47)</f>
        <v>32311000</v>
      </c>
      <c r="L48" s="167" t="s">
        <v>919</v>
      </c>
      <c r="M48" s="167">
        <f>SUBTOTAL(109,M2:M47)</f>
        <v>32153000</v>
      </c>
      <c r="N48" s="167"/>
      <c r="O48" s="166">
        <f>SUBTOTAL(109,$O$2:$O$47)</f>
        <v>21414000</v>
      </c>
    </row>
    <row r="49" spans="12:15" ht="30" customHeight="1">
      <c r="L49" s="167" t="s">
        <v>920</v>
      </c>
      <c r="M49" s="167">
        <f>SUM(M12,M13,M14,M15,M16,M17,M18,M19,M33,M42)</f>
        <v>6861000</v>
      </c>
      <c r="N49" s="167"/>
      <c r="O49" s="167">
        <f>SUM(O12,O13,O14,O15,O16,O17,O18,O19,O33,O42)</f>
        <v>4570000</v>
      </c>
    </row>
    <row r="50" spans="12:15" ht="30" customHeight="1">
      <c r="L50" s="167" t="s">
        <v>921</v>
      </c>
      <c r="M50" s="167">
        <f>M48-M49</f>
        <v>25292000</v>
      </c>
      <c r="N50" s="167"/>
      <c r="O50" s="167">
        <f>O48-O49</f>
        <v>16844000</v>
      </c>
    </row>
    <row r="51" spans="12:15" ht="30" customHeight="1"/>
  </sheetData>
  <autoFilter ref="A1:N49" xr:uid="{00000000-0009-0000-0000-000001000000}"/>
  <mergeCells count="13">
    <mergeCell ref="L2:L6"/>
    <mergeCell ref="L7:L9"/>
    <mergeCell ref="L11:L42"/>
    <mergeCell ref="L43:L47"/>
    <mergeCell ref="N43:N47"/>
    <mergeCell ref="J2:J6"/>
    <mergeCell ref="J7:J9"/>
    <mergeCell ref="J11:J42"/>
    <mergeCell ref="J43:J47"/>
    <mergeCell ref="I2:I6"/>
    <mergeCell ref="I7:I9"/>
    <mergeCell ref="I11:I42"/>
    <mergeCell ref="I43:I47"/>
  </mergeCells>
  <phoneticPr fontId="1"/>
  <printOptions horizontalCentered="1" verticalCentered="1"/>
  <pageMargins left="0.11811023622047245" right="0.11811023622047245" top="0.35433070866141736" bottom="0.35433070866141736" header="0.31496062992125984" footer="0.31496062992125984"/>
  <pageSetup paperSize="8" scale="56" orientation="landscape" r:id="rId1"/>
  <headerFooter>
    <oddHeader>&amp;C&amp;"BIZ UDPゴシック,標準"&amp;16令和4年度障害福祉分野のICT導入モデル事業　対象事業所一覧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2">
    <tabColor rgb="FFFFC000"/>
  </sheetPr>
  <dimension ref="A1:AV126"/>
  <sheetViews>
    <sheetView showGridLines="0" view="pageBreakPreview" zoomScaleNormal="100" zoomScaleSheetLayoutView="100" workbookViewId="0">
      <selection activeCell="V7" sqref="V7:AQ7"/>
    </sheetView>
  </sheetViews>
  <sheetFormatPr defaultColWidth="9" defaultRowHeight="22.5" customHeight="1"/>
  <cols>
    <col min="1" max="43" width="1.90625" style="13" customWidth="1"/>
    <col min="44" max="44" width="3.36328125" style="15" customWidth="1"/>
    <col min="45" max="47" width="1.90625" style="13" customWidth="1"/>
    <col min="48" max="48" width="6.26953125" style="13" customWidth="1"/>
    <col min="49" max="49" width="25" style="13" customWidth="1"/>
    <col min="50" max="16384" width="9" style="13"/>
  </cols>
  <sheetData>
    <row r="1" spans="1:48" ht="16.5" customHeight="1">
      <c r="A1" s="197"/>
      <c r="B1" s="197"/>
      <c r="AI1" s="200" t="str">
        <f>'1'!$AI$1</f>
        <v>R4健障障第100号</v>
      </c>
      <c r="AJ1" s="200"/>
      <c r="AK1" s="200"/>
      <c r="AL1" s="200"/>
      <c r="AM1" s="200"/>
      <c r="AN1" s="200"/>
      <c r="AO1" s="200"/>
      <c r="AP1" s="200"/>
      <c r="AQ1" s="200"/>
      <c r="AR1" s="15">
        <v>1</v>
      </c>
    </row>
    <row r="2" spans="1:48" ht="16.5" customHeight="1">
      <c r="A2" s="197"/>
      <c r="B2" s="197"/>
      <c r="AI2" s="201">
        <f>'1'!$AI$2</f>
        <v>44677</v>
      </c>
      <c r="AJ2" s="201"/>
      <c r="AK2" s="201"/>
      <c r="AL2" s="201"/>
      <c r="AM2" s="201"/>
      <c r="AN2" s="201"/>
      <c r="AO2" s="201"/>
      <c r="AP2" s="201"/>
      <c r="AQ2" s="201"/>
      <c r="AR2" s="15">
        <f>AR1+1</f>
        <v>2</v>
      </c>
    </row>
    <row r="3" spans="1:48" ht="18.7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5">
        <f t="shared" ref="AR3:AR34" si="0">AR2+1</f>
        <v>3</v>
      </c>
    </row>
    <row r="4" spans="1:48" ht="18.75" customHeight="1">
      <c r="A4" s="199" t="str">
        <f>INDEX(送付先一覧!A:O,MATCH(AV4,送付先一覧!A:A,0),4)</f>
        <v>株式会社good conviction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5">
        <f t="shared" si="0"/>
        <v>4</v>
      </c>
      <c r="AV4" s="65">
        <v>6</v>
      </c>
    </row>
    <row r="5" spans="1:48" ht="18.75" customHeight="1">
      <c r="A5" s="202" t="str">
        <f>INDEX(送付先一覧!A:O,MATCH(AV4,送付先一覧!A:A,0),5)</f>
        <v>代表取締役　塩崎　俊洋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15">
        <f t="shared" si="0"/>
        <v>5</v>
      </c>
    </row>
    <row r="6" spans="1:48" ht="18.75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5">
        <f t="shared" si="0"/>
        <v>6</v>
      </c>
    </row>
    <row r="7" spans="1:48" ht="18.75" customHeight="1">
      <c r="V7" s="199" t="str">
        <f>'1'!$V$7</f>
        <v>仙台市健康福祉局障害福祉部障害企画課長　　</v>
      </c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5">
        <f t="shared" si="0"/>
        <v>7</v>
      </c>
    </row>
    <row r="8" spans="1:48" ht="18.75" customHeight="1">
      <c r="V8" s="199" t="str">
        <f>'1'!$V$8</f>
        <v>仙台市健康福祉局障害福祉部障害者支援課長　</v>
      </c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5">
        <f t="shared" si="0"/>
        <v>8</v>
      </c>
    </row>
    <row r="9" spans="1:48" ht="18.7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5">
        <f t="shared" si="0"/>
        <v>9</v>
      </c>
    </row>
    <row r="10" spans="1:48" ht="22.5" customHeight="1">
      <c r="A10" s="203" t="str">
        <f>'1'!$A$10</f>
        <v>令和４年度仙台市障害福祉分野のICT導入モデル事業補助金の内示について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15">
        <f t="shared" si="0"/>
        <v>10</v>
      </c>
    </row>
    <row r="11" spans="1:48" ht="18.7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5">
        <f t="shared" si="0"/>
        <v>11</v>
      </c>
    </row>
    <row r="12" spans="1:48" ht="93.75" customHeight="1">
      <c r="A12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15">
        <f t="shared" si="0"/>
        <v>12</v>
      </c>
    </row>
    <row r="13" spans="1:48" ht="18.7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5">
        <f t="shared" si="0"/>
        <v>13</v>
      </c>
    </row>
    <row r="14" spans="1:48" ht="18.75" customHeight="1">
      <c r="A14" s="197" t="str">
        <f>'1'!$A$14</f>
        <v>記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5">
        <f t="shared" si="0"/>
        <v>14</v>
      </c>
    </row>
    <row r="15" spans="1:48" ht="18.7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5">
        <f t="shared" si="0"/>
        <v>15</v>
      </c>
    </row>
    <row r="16" spans="1:48" ht="18.75" customHeight="1">
      <c r="I16" s="199" t="str">
        <f>'1'!$I$16</f>
        <v>補助内示額</v>
      </c>
      <c r="J16" s="199"/>
      <c r="K16" s="199"/>
      <c r="L16" s="199"/>
      <c r="M16" s="199"/>
      <c r="N16" s="199"/>
      <c r="S16" s="206">
        <f>INDEX(送付先一覧!A:O,MATCH(AV4,送付先一覧!A:A,0),12)</f>
        <v>187000</v>
      </c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199"/>
      <c r="AG16" s="199"/>
      <c r="AH16" s="199"/>
      <c r="AI16" s="199"/>
      <c r="AR16" s="15">
        <f t="shared" si="0"/>
        <v>16</v>
      </c>
    </row>
    <row r="17" spans="1:44" ht="18.75" customHeight="1">
      <c r="I17" s="199" t="str">
        <f>'1'!$I$17</f>
        <v>事業種別</v>
      </c>
      <c r="J17" s="199"/>
      <c r="K17" s="199"/>
      <c r="L17" s="199"/>
      <c r="M17" s="199"/>
      <c r="N17" s="199"/>
      <c r="O17" s="199"/>
      <c r="P17" s="199"/>
      <c r="Q17" s="199"/>
      <c r="R17" s="199"/>
      <c r="S17" s="199" t="str">
        <f>INDEX(送付先一覧!A:O,MATCH(AV4,送付先一覧!A:A,0),9)</f>
        <v>就労移行支援</v>
      </c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R17" s="15">
        <f t="shared" si="0"/>
        <v>17</v>
      </c>
    </row>
    <row r="18" spans="1:44" ht="18.75" customHeight="1">
      <c r="I18" s="199" t="str">
        <f>'1'!$I$18</f>
        <v>事業所名</v>
      </c>
      <c r="J18" s="199"/>
      <c r="K18" s="199"/>
      <c r="L18" s="199"/>
      <c r="M18" s="199"/>
      <c r="N18" s="199"/>
      <c r="O18" s="199"/>
      <c r="P18" s="199"/>
      <c r="Q18" s="199"/>
      <c r="R18" s="199"/>
      <c r="S18" s="204" t="str">
        <f>INDEX(送付先一覧!A:O,MATCH(AV4,送付先一覧!A:A,0),8)</f>
        <v>就労・自立支援ひらく</v>
      </c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15">
        <f t="shared" si="0"/>
        <v>18</v>
      </c>
    </row>
    <row r="19" spans="1:44" ht="18.75" customHeight="1"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15">
        <f t="shared" si="0"/>
        <v>19</v>
      </c>
    </row>
    <row r="20" spans="1:44" ht="18.75" customHeight="1"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R20" s="15">
        <f t="shared" si="0"/>
        <v>20</v>
      </c>
    </row>
    <row r="21" spans="1:44" ht="18.7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5">
        <f t="shared" si="0"/>
        <v>21</v>
      </c>
    </row>
    <row r="22" spans="1:44" ht="18.75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5">
        <f t="shared" si="0"/>
        <v>22</v>
      </c>
    </row>
    <row r="23" spans="1:44" ht="18.75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5">
        <f t="shared" si="0"/>
        <v>23</v>
      </c>
    </row>
    <row r="24" spans="1:44" ht="18.75" customHeight="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5">
        <f t="shared" si="0"/>
        <v>24</v>
      </c>
    </row>
    <row r="25" spans="1:44" ht="18.7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5">
        <f t="shared" si="0"/>
        <v>25</v>
      </c>
    </row>
    <row r="26" spans="1:44" ht="18.7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5">
        <f t="shared" si="0"/>
        <v>26</v>
      </c>
    </row>
    <row r="27" spans="1:44" ht="18.75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5">
        <f t="shared" si="0"/>
        <v>27</v>
      </c>
    </row>
    <row r="28" spans="1:44" ht="18.7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5">
        <f t="shared" si="0"/>
        <v>28</v>
      </c>
    </row>
    <row r="29" spans="1:44" ht="18.75" customHeight="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5">
        <f t="shared" si="0"/>
        <v>29</v>
      </c>
    </row>
    <row r="30" spans="1:44" ht="18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5">
        <f t="shared" si="0"/>
        <v>30</v>
      </c>
    </row>
    <row r="31" spans="1:44" ht="18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5">
        <f t="shared" si="0"/>
        <v>31</v>
      </c>
    </row>
    <row r="32" spans="1:44" ht="18.75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5">
        <f t="shared" si="0"/>
        <v>32</v>
      </c>
    </row>
    <row r="33" spans="1:44" ht="18.7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5">
        <f t="shared" si="0"/>
        <v>33</v>
      </c>
    </row>
    <row r="34" spans="1:44" ht="18.7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5">
        <f t="shared" si="0"/>
        <v>34</v>
      </c>
    </row>
    <row r="35" spans="1:44" ht="18.75" customHeight="1">
      <c r="A35" s="15"/>
      <c r="B35" s="15"/>
    </row>
    <row r="36" spans="1:44" ht="16.5" customHeight="1"/>
    <row r="37" spans="1:44" ht="16.5" customHeight="1"/>
    <row r="38" spans="1:44" ht="16.5" customHeight="1"/>
    <row r="39" spans="1:44" ht="16.5" customHeight="1"/>
    <row r="40" spans="1:44" ht="16.5" customHeight="1"/>
    <row r="41" spans="1:44" ht="16.5" customHeight="1"/>
    <row r="42" spans="1:44" ht="16.5" customHeight="1"/>
    <row r="43" spans="1:44" ht="16.5" customHeight="1"/>
    <row r="44" spans="1:44" ht="16.5" customHeight="1"/>
    <row r="45" spans="1:44" ht="16.5" customHeight="1"/>
    <row r="46" spans="1:44" ht="16.5" customHeight="1"/>
    <row r="47" spans="1:44" ht="16.5" customHeight="1"/>
    <row r="48" spans="1:44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</sheetData>
  <sheetProtection formatCells="0" selectLockedCells="1"/>
  <mergeCells count="43">
    <mergeCell ref="A30:AQ30"/>
    <mergeCell ref="A31:AQ31"/>
    <mergeCell ref="A32:AQ32"/>
    <mergeCell ref="A33:AQ33"/>
    <mergeCell ref="A34:AQ34"/>
    <mergeCell ref="A29:AQ29"/>
    <mergeCell ref="I19:R19"/>
    <mergeCell ref="I20:R20"/>
    <mergeCell ref="S20:AI20"/>
    <mergeCell ref="A21:AQ21"/>
    <mergeCell ref="A22:AQ22"/>
    <mergeCell ref="A23:AQ23"/>
    <mergeCell ref="A24:AQ24"/>
    <mergeCell ref="A25:AQ25"/>
    <mergeCell ref="A26:AQ26"/>
    <mergeCell ref="A27:AQ27"/>
    <mergeCell ref="A28:AQ28"/>
    <mergeCell ref="I17:N17"/>
    <mergeCell ref="O17:R17"/>
    <mergeCell ref="S17:AP17"/>
    <mergeCell ref="I18:N18"/>
    <mergeCell ref="O18:R18"/>
    <mergeCell ref="S18:AQ18"/>
    <mergeCell ref="I16:N16"/>
    <mergeCell ref="S16:AE16"/>
    <mergeCell ref="AF16:AI16"/>
    <mergeCell ref="A5:AQ5"/>
    <mergeCell ref="A6:AQ6"/>
    <mergeCell ref="V7:AQ7"/>
    <mergeCell ref="V8:AQ8"/>
    <mergeCell ref="A9:AQ9"/>
    <mergeCell ref="A10:AQ10"/>
    <mergeCell ref="A11:AQ11"/>
    <mergeCell ref="A12:AQ12"/>
    <mergeCell ref="A13:AQ13"/>
    <mergeCell ref="A14:AQ14"/>
    <mergeCell ref="A15:AQ15"/>
    <mergeCell ref="A4:AQ4"/>
    <mergeCell ref="A1:B1"/>
    <mergeCell ref="AI1:AQ1"/>
    <mergeCell ref="A2:B2"/>
    <mergeCell ref="AI2:AQ2"/>
    <mergeCell ref="A3:AQ3"/>
  </mergeCells>
  <phoneticPr fontId="1"/>
  <pageMargins left="0.98425196850393704" right="0.98425196850393704" top="1.3779527559055118" bottom="1.1811023622047245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3">
    <tabColor rgb="FFFFC000"/>
  </sheetPr>
  <dimension ref="A1:AV398"/>
  <sheetViews>
    <sheetView showGridLines="0" view="pageBreakPreview" zoomScaleNormal="100" zoomScaleSheetLayoutView="100" workbookViewId="0">
      <selection activeCell="V7" sqref="V7:AQ7"/>
    </sheetView>
  </sheetViews>
  <sheetFormatPr defaultColWidth="9" defaultRowHeight="22.5" customHeight="1"/>
  <cols>
    <col min="1" max="43" width="1.90625" style="13" customWidth="1"/>
    <col min="44" max="44" width="3.36328125" style="15" customWidth="1"/>
    <col min="45" max="47" width="1.90625" style="13" customWidth="1"/>
    <col min="48" max="48" width="6.26953125" style="13" customWidth="1"/>
    <col min="49" max="49" width="25" style="13" customWidth="1"/>
    <col min="50" max="16384" width="9" style="13"/>
  </cols>
  <sheetData>
    <row r="1" spans="1:48" ht="16.5" customHeight="1">
      <c r="A1" s="197"/>
      <c r="B1" s="197"/>
      <c r="AI1" s="200" t="str">
        <f>'1'!$AI$1</f>
        <v>R4健障障第100号</v>
      </c>
      <c r="AJ1" s="200"/>
      <c r="AK1" s="200"/>
      <c r="AL1" s="200"/>
      <c r="AM1" s="200"/>
      <c r="AN1" s="200"/>
      <c r="AO1" s="200"/>
      <c r="AP1" s="200"/>
      <c r="AQ1" s="200"/>
      <c r="AR1" s="15">
        <v>1</v>
      </c>
    </row>
    <row r="2" spans="1:48" ht="16.5" customHeight="1">
      <c r="A2" s="197"/>
      <c r="B2" s="197"/>
      <c r="AI2" s="201">
        <f>'1'!$AI$2</f>
        <v>44677</v>
      </c>
      <c r="AJ2" s="201"/>
      <c r="AK2" s="201"/>
      <c r="AL2" s="201"/>
      <c r="AM2" s="201"/>
      <c r="AN2" s="201"/>
      <c r="AO2" s="201"/>
      <c r="AP2" s="201"/>
      <c r="AQ2" s="201"/>
      <c r="AR2" s="15">
        <f>AR1+1</f>
        <v>2</v>
      </c>
    </row>
    <row r="3" spans="1:48" ht="18.7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5">
        <f t="shared" ref="AR3:AR34" si="0">AR2+1</f>
        <v>3</v>
      </c>
    </row>
    <row r="4" spans="1:48" ht="18.75" customHeight="1">
      <c r="A4" s="199" t="str">
        <f>INDEX(送付先一覧!A:O,MATCH(AV4,送付先一覧!A:A,0),4)</f>
        <v>株式会社ミツイ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5">
        <f t="shared" si="0"/>
        <v>4</v>
      </c>
      <c r="AV4" s="65">
        <v>7</v>
      </c>
    </row>
    <row r="5" spans="1:48" ht="18.75" customHeight="1">
      <c r="A5" s="202" t="str">
        <f>INDEX(送付先一覧!A:O,MATCH(AV4,送付先一覧!A:A,0),5)</f>
        <v>代表取締役社長　金沢　和樹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15">
        <f t="shared" si="0"/>
        <v>5</v>
      </c>
    </row>
    <row r="6" spans="1:48" ht="18.75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5">
        <f t="shared" si="0"/>
        <v>6</v>
      </c>
    </row>
    <row r="7" spans="1:48" ht="18.75" customHeight="1">
      <c r="V7" s="199" t="str">
        <f>'1'!$V$7</f>
        <v>仙台市健康福祉局障害福祉部障害企画課長　　</v>
      </c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5">
        <f t="shared" si="0"/>
        <v>7</v>
      </c>
    </row>
    <row r="8" spans="1:48" ht="18.75" customHeight="1">
      <c r="V8" s="199" t="str">
        <f>'1'!$V$8</f>
        <v>仙台市健康福祉局障害福祉部障害者支援課長　</v>
      </c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5">
        <f t="shared" si="0"/>
        <v>8</v>
      </c>
    </row>
    <row r="9" spans="1:48" ht="18.7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5">
        <f t="shared" si="0"/>
        <v>9</v>
      </c>
    </row>
    <row r="10" spans="1:48" ht="22.5" customHeight="1">
      <c r="A10" s="203" t="str">
        <f>'1'!$A$10</f>
        <v>令和４年度仙台市障害福祉分野のICT導入モデル事業補助金の内示について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15">
        <f t="shared" si="0"/>
        <v>10</v>
      </c>
    </row>
    <row r="11" spans="1:48" ht="18.7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5">
        <f t="shared" si="0"/>
        <v>11</v>
      </c>
    </row>
    <row r="12" spans="1:48" ht="93.75" customHeight="1">
      <c r="A12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15">
        <f t="shared" si="0"/>
        <v>12</v>
      </c>
    </row>
    <row r="13" spans="1:48" ht="18.7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5">
        <f t="shared" si="0"/>
        <v>13</v>
      </c>
    </row>
    <row r="14" spans="1:48" ht="18.75" customHeight="1">
      <c r="A14" s="197" t="str">
        <f>'1'!$A$14</f>
        <v>記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5">
        <f t="shared" si="0"/>
        <v>14</v>
      </c>
    </row>
    <row r="15" spans="1:48" ht="18.7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5">
        <f t="shared" si="0"/>
        <v>15</v>
      </c>
    </row>
    <row r="16" spans="1:48" ht="18.75" customHeight="1">
      <c r="I16" s="199" t="str">
        <f>'1'!$I$16</f>
        <v>補助内示額</v>
      </c>
      <c r="J16" s="199"/>
      <c r="K16" s="199"/>
      <c r="L16" s="199"/>
      <c r="M16" s="199"/>
      <c r="N16" s="199"/>
      <c r="S16" s="206">
        <f>INDEX(送付先一覧!A:O,MATCH(AV4,送付先一覧!A:A,0),12)</f>
        <v>666000</v>
      </c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199"/>
      <c r="AG16" s="199"/>
      <c r="AH16" s="199"/>
      <c r="AI16" s="199"/>
      <c r="AR16" s="15">
        <f t="shared" si="0"/>
        <v>16</v>
      </c>
    </row>
    <row r="17" spans="1:44" ht="18.75" customHeight="1">
      <c r="I17" s="199" t="str">
        <f>'1'!$I$17</f>
        <v>事業種別</v>
      </c>
      <c r="J17" s="199"/>
      <c r="K17" s="199"/>
      <c r="L17" s="199"/>
      <c r="M17" s="199"/>
      <c r="N17" s="199"/>
      <c r="O17" s="199"/>
      <c r="P17" s="199"/>
      <c r="Q17" s="199"/>
      <c r="R17" s="199"/>
      <c r="S17" s="199" t="str">
        <f>INDEX(送付先一覧!A:O,MATCH(AV4,送付先一覧!A:A,0),9)</f>
        <v>就労移行支援</v>
      </c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R17" s="15">
        <f t="shared" si="0"/>
        <v>17</v>
      </c>
    </row>
    <row r="18" spans="1:44" ht="18.75" customHeight="1">
      <c r="I18" s="199" t="str">
        <f>'1'!$I$18</f>
        <v>事業所名</v>
      </c>
      <c r="J18" s="199"/>
      <c r="K18" s="199"/>
      <c r="L18" s="199"/>
      <c r="M18" s="199"/>
      <c r="N18" s="199"/>
      <c r="O18" s="199"/>
      <c r="P18" s="199"/>
      <c r="Q18" s="199"/>
      <c r="R18" s="199"/>
      <c r="S18" s="204" t="str">
        <f>INDEX(送付先一覧!A:O,MATCH(AV4,送付先一覧!A:A,0),8)</f>
        <v>Rickeyクルーズ　仙台青葉通</v>
      </c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15">
        <f t="shared" si="0"/>
        <v>18</v>
      </c>
    </row>
    <row r="19" spans="1:44" ht="18.75" customHeight="1"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15">
        <f t="shared" si="0"/>
        <v>19</v>
      </c>
    </row>
    <row r="20" spans="1:44" ht="18.75" customHeight="1"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R20" s="15">
        <f t="shared" si="0"/>
        <v>20</v>
      </c>
    </row>
    <row r="21" spans="1:44" ht="18.7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5">
        <f t="shared" si="0"/>
        <v>21</v>
      </c>
    </row>
    <row r="22" spans="1:44" ht="18.75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5">
        <f t="shared" si="0"/>
        <v>22</v>
      </c>
    </row>
    <row r="23" spans="1:44" ht="18.75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5">
        <f t="shared" si="0"/>
        <v>23</v>
      </c>
    </row>
    <row r="24" spans="1:44" ht="18.75" customHeight="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5">
        <f t="shared" si="0"/>
        <v>24</v>
      </c>
    </row>
    <row r="25" spans="1:44" ht="18.7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5">
        <f t="shared" si="0"/>
        <v>25</v>
      </c>
    </row>
    <row r="26" spans="1:44" ht="18.7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5">
        <f t="shared" si="0"/>
        <v>26</v>
      </c>
    </row>
    <row r="27" spans="1:44" ht="18.75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5">
        <f t="shared" si="0"/>
        <v>27</v>
      </c>
    </row>
    <row r="28" spans="1:44" ht="18.7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5">
        <f t="shared" si="0"/>
        <v>28</v>
      </c>
    </row>
    <row r="29" spans="1:44" ht="18.75" customHeight="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5">
        <f t="shared" si="0"/>
        <v>29</v>
      </c>
    </row>
    <row r="30" spans="1:44" ht="18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5">
        <f t="shared" si="0"/>
        <v>30</v>
      </c>
    </row>
    <row r="31" spans="1:44" ht="18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5">
        <f t="shared" si="0"/>
        <v>31</v>
      </c>
    </row>
    <row r="32" spans="1:44" ht="18.75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5">
        <f t="shared" si="0"/>
        <v>32</v>
      </c>
    </row>
    <row r="33" spans="1:48" ht="18.7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5">
        <f t="shared" si="0"/>
        <v>33</v>
      </c>
    </row>
    <row r="34" spans="1:48" ht="18.7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5">
        <f t="shared" si="0"/>
        <v>34</v>
      </c>
    </row>
    <row r="35" spans="1:48" ht="16.5" customHeight="1">
      <c r="A35" s="197"/>
      <c r="B35" s="197"/>
      <c r="AI35" s="200" t="str">
        <f>'1'!$AI$1</f>
        <v>R4健障障第100号</v>
      </c>
      <c r="AJ35" s="200"/>
      <c r="AK35" s="200"/>
      <c r="AL35" s="200"/>
      <c r="AM35" s="200"/>
      <c r="AN35" s="200"/>
      <c r="AO35" s="200"/>
      <c r="AP35" s="200"/>
      <c r="AQ35" s="200"/>
      <c r="AR35" s="15">
        <v>1</v>
      </c>
    </row>
    <row r="36" spans="1:48" ht="16.5" customHeight="1">
      <c r="A36" s="197"/>
      <c r="B36" s="197"/>
      <c r="AI36" s="201">
        <f>'1'!$AI$2</f>
        <v>44677</v>
      </c>
      <c r="AJ36" s="201"/>
      <c r="AK36" s="201"/>
      <c r="AL36" s="201"/>
      <c r="AM36" s="201"/>
      <c r="AN36" s="201"/>
      <c r="AO36" s="201"/>
      <c r="AP36" s="201"/>
      <c r="AQ36" s="201"/>
      <c r="AR36" s="15">
        <f>AR35+1</f>
        <v>2</v>
      </c>
    </row>
    <row r="37" spans="1:48" ht="18.75" customHeight="1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5">
        <f t="shared" ref="AR37:AR68" si="1">AR36+1</f>
        <v>3</v>
      </c>
    </row>
    <row r="38" spans="1:48" ht="18.75" customHeight="1">
      <c r="A38" s="199" t="str">
        <f>INDEX(送付先一覧!A:O,MATCH(AV38,送付先一覧!A:A,0),4)</f>
        <v>株式会社ミツイ</v>
      </c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5">
        <f t="shared" si="1"/>
        <v>4</v>
      </c>
      <c r="AV38" s="65">
        <f>AV4+1</f>
        <v>8</v>
      </c>
    </row>
    <row r="39" spans="1:48" ht="18.75" customHeight="1">
      <c r="A39" s="202" t="str">
        <f>INDEX(送付先一覧!A:O,MATCH(AV38,送付先一覧!A:A,0),5)</f>
        <v>代表取締役社長　金沢　和樹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15">
        <f t="shared" si="1"/>
        <v>5</v>
      </c>
    </row>
    <row r="40" spans="1:48" ht="18.75" customHeight="1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5">
        <f t="shared" si="1"/>
        <v>6</v>
      </c>
    </row>
    <row r="41" spans="1:48" ht="18.75" customHeight="1">
      <c r="V41" s="199" t="str">
        <f>'1'!$V$7</f>
        <v>仙台市健康福祉局障害福祉部障害企画課長　　</v>
      </c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5">
        <f t="shared" si="1"/>
        <v>7</v>
      </c>
    </row>
    <row r="42" spans="1:48" ht="18.75" customHeight="1">
      <c r="V42" s="199" t="str">
        <f>'1'!$V$8</f>
        <v>仙台市健康福祉局障害福祉部障害者支援課長　</v>
      </c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5">
        <f t="shared" si="1"/>
        <v>8</v>
      </c>
    </row>
    <row r="43" spans="1:48" ht="18.75" customHeight="1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5">
        <f t="shared" si="1"/>
        <v>9</v>
      </c>
    </row>
    <row r="44" spans="1:48" ht="22.5" customHeight="1">
      <c r="A44" s="203" t="str">
        <f>'1'!$A$10</f>
        <v>令和４年度仙台市障害福祉分野のICT導入モデル事業補助金の内示について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15">
        <f t="shared" si="1"/>
        <v>10</v>
      </c>
    </row>
    <row r="45" spans="1:48" ht="18.75" customHeight="1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5">
        <f t="shared" si="1"/>
        <v>11</v>
      </c>
    </row>
    <row r="46" spans="1:48" ht="93.75" customHeight="1">
      <c r="A46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15">
        <f t="shared" si="1"/>
        <v>12</v>
      </c>
    </row>
    <row r="47" spans="1:48" ht="18.75" customHeight="1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5">
        <f t="shared" si="1"/>
        <v>13</v>
      </c>
    </row>
    <row r="48" spans="1:48" ht="18.75" customHeight="1">
      <c r="A48" s="197" t="str">
        <f>'1'!$A$14</f>
        <v>記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5">
        <f t="shared" si="1"/>
        <v>14</v>
      </c>
    </row>
    <row r="49" spans="1:44" ht="18.75" customHeight="1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5">
        <f t="shared" si="1"/>
        <v>15</v>
      </c>
    </row>
    <row r="50" spans="1:44" ht="18.75" customHeight="1">
      <c r="I50" s="199" t="str">
        <f>'1'!$I$16</f>
        <v>補助内示額</v>
      </c>
      <c r="J50" s="199"/>
      <c r="K50" s="199"/>
      <c r="L50" s="199"/>
      <c r="M50" s="199"/>
      <c r="N50" s="199"/>
      <c r="S50" s="206">
        <f>INDEX(送付先一覧!A:O,MATCH(AV38,送付先一覧!A:A,0),12)</f>
        <v>666000</v>
      </c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199"/>
      <c r="AG50" s="199"/>
      <c r="AH50" s="199"/>
      <c r="AI50" s="199"/>
      <c r="AR50" s="15">
        <f t="shared" si="1"/>
        <v>16</v>
      </c>
    </row>
    <row r="51" spans="1:44" ht="18.75" customHeight="1">
      <c r="I51" s="199" t="str">
        <f>'1'!$I$17</f>
        <v>事業種別</v>
      </c>
      <c r="J51" s="199"/>
      <c r="K51" s="199"/>
      <c r="L51" s="199"/>
      <c r="M51" s="199"/>
      <c r="N51" s="199"/>
      <c r="O51" s="199"/>
      <c r="P51" s="199"/>
      <c r="Q51" s="199"/>
      <c r="R51" s="199"/>
      <c r="S51" s="199" t="str">
        <f>INDEX(送付先一覧!A:O,MATCH(AV38,送付先一覧!A:A,0),9)</f>
        <v>就労移行支援</v>
      </c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R51" s="15">
        <f t="shared" si="1"/>
        <v>17</v>
      </c>
    </row>
    <row r="52" spans="1:44" ht="18.75" customHeight="1">
      <c r="I52" s="199" t="str">
        <f>'1'!$I$18</f>
        <v>事業所名</v>
      </c>
      <c r="J52" s="199"/>
      <c r="K52" s="199"/>
      <c r="L52" s="199"/>
      <c r="M52" s="199"/>
      <c r="N52" s="199"/>
      <c r="O52" s="199"/>
      <c r="P52" s="199"/>
      <c r="Q52" s="199"/>
      <c r="R52" s="199"/>
      <c r="S52" s="204" t="str">
        <f>INDEX(送付先一覧!A:O,MATCH(AV38,送付先一覧!A:A,0),8)</f>
        <v>Rickeyクルーズ　あすと長町</v>
      </c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15">
        <f t="shared" si="1"/>
        <v>18</v>
      </c>
    </row>
    <row r="53" spans="1:44" ht="18.75" customHeight="1"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15">
        <f t="shared" si="1"/>
        <v>19</v>
      </c>
    </row>
    <row r="54" spans="1:44" ht="18.75" customHeight="1"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198"/>
      <c r="AR54" s="15">
        <f t="shared" si="1"/>
        <v>20</v>
      </c>
    </row>
    <row r="55" spans="1:44" ht="18.75" customHeight="1">
      <c r="A55" s="198"/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5">
        <f t="shared" si="1"/>
        <v>21</v>
      </c>
    </row>
    <row r="56" spans="1:44" ht="18.75" customHeight="1">
      <c r="A56" s="198"/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5">
        <f t="shared" si="1"/>
        <v>22</v>
      </c>
    </row>
    <row r="57" spans="1:44" ht="18.75" customHeight="1">
      <c r="A57" s="198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5">
        <f t="shared" si="1"/>
        <v>23</v>
      </c>
    </row>
    <row r="58" spans="1:44" ht="18.75" customHeight="1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5">
        <f t="shared" si="1"/>
        <v>24</v>
      </c>
    </row>
    <row r="59" spans="1:44" ht="18.75" customHeight="1">
      <c r="A59" s="198"/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5">
        <f t="shared" si="1"/>
        <v>25</v>
      </c>
    </row>
    <row r="60" spans="1:44" ht="18.75" customHeight="1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5">
        <f t="shared" si="1"/>
        <v>26</v>
      </c>
    </row>
    <row r="61" spans="1:44" ht="18.75" customHeight="1">
      <c r="A61" s="198"/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5">
        <f t="shared" si="1"/>
        <v>27</v>
      </c>
    </row>
    <row r="62" spans="1:44" ht="18.75" customHeight="1">
      <c r="A62" s="198"/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5">
        <f t="shared" si="1"/>
        <v>28</v>
      </c>
    </row>
    <row r="63" spans="1:44" ht="18.75" customHeight="1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5">
        <f t="shared" si="1"/>
        <v>29</v>
      </c>
    </row>
    <row r="64" spans="1:44" ht="18.75" customHeight="1">
      <c r="A64" s="198"/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5">
        <f t="shared" si="1"/>
        <v>30</v>
      </c>
    </row>
    <row r="65" spans="1:48" ht="18.75" customHeight="1">
      <c r="A65" s="198"/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5">
        <f t="shared" si="1"/>
        <v>31</v>
      </c>
    </row>
    <row r="66" spans="1:48" ht="18.75" customHeight="1">
      <c r="A66" s="198"/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5">
        <f t="shared" si="1"/>
        <v>32</v>
      </c>
    </row>
    <row r="67" spans="1:48" ht="18.75" customHeight="1">
      <c r="A67" s="198"/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5">
        <f t="shared" si="1"/>
        <v>33</v>
      </c>
    </row>
    <row r="68" spans="1:48" ht="18.75" customHeight="1">
      <c r="A68" s="198"/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5">
        <f t="shared" si="1"/>
        <v>34</v>
      </c>
    </row>
    <row r="69" spans="1:48" ht="16.5" customHeight="1">
      <c r="A69" s="197"/>
      <c r="B69" s="197"/>
      <c r="AI69" s="200" t="str">
        <f>'1'!$AI$1</f>
        <v>R4健障障第100号</v>
      </c>
      <c r="AJ69" s="200"/>
      <c r="AK69" s="200"/>
      <c r="AL69" s="200"/>
      <c r="AM69" s="200"/>
      <c r="AN69" s="200"/>
      <c r="AO69" s="200"/>
      <c r="AP69" s="200"/>
      <c r="AQ69" s="200"/>
      <c r="AR69" s="15">
        <v>1</v>
      </c>
    </row>
    <row r="70" spans="1:48" ht="16.5" customHeight="1">
      <c r="A70" s="197"/>
      <c r="B70" s="197"/>
      <c r="AI70" s="201">
        <f>'1'!$AI$2</f>
        <v>44677</v>
      </c>
      <c r="AJ70" s="201"/>
      <c r="AK70" s="201"/>
      <c r="AL70" s="201"/>
      <c r="AM70" s="201"/>
      <c r="AN70" s="201"/>
      <c r="AO70" s="201"/>
      <c r="AP70" s="201"/>
      <c r="AQ70" s="201"/>
      <c r="AR70" s="15">
        <f>AR69+1</f>
        <v>2</v>
      </c>
    </row>
    <row r="71" spans="1:48" ht="18.75" customHeight="1">
      <c r="A71" s="198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5">
        <f t="shared" ref="AR71:AR102" si="2">AR70+1</f>
        <v>3</v>
      </c>
    </row>
    <row r="72" spans="1:48" ht="18.75" customHeight="1">
      <c r="A72" s="199" t="str">
        <f>INDEX(送付先一覧!A:O,MATCH(AV72,送付先一覧!A:A,0),4)</f>
        <v>株式会社ミツイ</v>
      </c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5">
        <f t="shared" si="2"/>
        <v>4</v>
      </c>
      <c r="AV72" s="65">
        <f>AV38+1</f>
        <v>9</v>
      </c>
    </row>
    <row r="73" spans="1:48" ht="18.75" customHeight="1">
      <c r="A73" s="202" t="str">
        <f>INDEX(送付先一覧!A:O,MATCH(AV72,送付先一覧!A:A,0),5)</f>
        <v>代表取締役社長　金沢　和樹</v>
      </c>
      <c r="B73" s="202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202"/>
      <c r="AD73" s="202"/>
      <c r="AE73" s="202"/>
      <c r="AF73" s="202"/>
      <c r="AG73" s="202"/>
      <c r="AH73" s="202"/>
      <c r="AI73" s="202"/>
      <c r="AJ73" s="202"/>
      <c r="AK73" s="202"/>
      <c r="AL73" s="202"/>
      <c r="AM73" s="202"/>
      <c r="AN73" s="202"/>
      <c r="AO73" s="202"/>
      <c r="AP73" s="202"/>
      <c r="AQ73" s="202"/>
      <c r="AR73" s="15">
        <f t="shared" si="2"/>
        <v>5</v>
      </c>
    </row>
    <row r="74" spans="1:48" ht="18.75" customHeight="1">
      <c r="A74" s="198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5">
        <f t="shared" si="2"/>
        <v>6</v>
      </c>
    </row>
    <row r="75" spans="1:48" ht="18.75" customHeight="1">
      <c r="V75" s="199" t="str">
        <f>'1'!$V$7</f>
        <v>仙台市健康福祉局障害福祉部障害企画課長　　</v>
      </c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5">
        <f t="shared" si="2"/>
        <v>7</v>
      </c>
    </row>
    <row r="76" spans="1:48" ht="18.75" customHeight="1">
      <c r="V76" s="199" t="str">
        <f>'1'!$V$8</f>
        <v>仙台市健康福祉局障害福祉部障害者支援課長　</v>
      </c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5">
        <f t="shared" si="2"/>
        <v>8</v>
      </c>
    </row>
    <row r="77" spans="1:48" ht="18.75" customHeight="1">
      <c r="A77" s="198"/>
      <c r="B77" s="198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5">
        <f t="shared" si="2"/>
        <v>9</v>
      </c>
    </row>
    <row r="78" spans="1:48" ht="22.5" customHeight="1">
      <c r="A78" s="203" t="str">
        <f>'1'!$A$10</f>
        <v>令和４年度仙台市障害福祉分野のICT導入モデル事業補助金の内示について</v>
      </c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15">
        <f t="shared" si="2"/>
        <v>10</v>
      </c>
    </row>
    <row r="79" spans="1:48" ht="18.75" customHeight="1">
      <c r="A79" s="198"/>
      <c r="B79" s="198"/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5">
        <f t="shared" si="2"/>
        <v>11</v>
      </c>
    </row>
    <row r="80" spans="1:48" ht="93.75" customHeight="1">
      <c r="A80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80" s="205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5">
        <f t="shared" si="2"/>
        <v>12</v>
      </c>
    </row>
    <row r="81" spans="1:44" ht="18.75" customHeight="1">
      <c r="A81" s="198"/>
      <c r="B81" s="198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5">
        <f t="shared" si="2"/>
        <v>13</v>
      </c>
    </row>
    <row r="82" spans="1:44" ht="18.75" customHeight="1">
      <c r="A82" s="197" t="str">
        <f>'1'!$A$14</f>
        <v>記</v>
      </c>
      <c r="B82" s="197"/>
      <c r="C82" s="197"/>
      <c r="D82" s="197"/>
      <c r="E82" s="197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5">
        <f t="shared" si="2"/>
        <v>14</v>
      </c>
    </row>
    <row r="83" spans="1:44" ht="18.75" customHeight="1">
      <c r="A83" s="198"/>
      <c r="B83" s="198"/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5">
        <f t="shared" si="2"/>
        <v>15</v>
      </c>
    </row>
    <row r="84" spans="1:44" ht="18.75" customHeight="1">
      <c r="I84" s="199" t="str">
        <f>'1'!$I$16</f>
        <v>補助内示額</v>
      </c>
      <c r="J84" s="199"/>
      <c r="K84" s="199"/>
      <c r="L84" s="199"/>
      <c r="M84" s="199"/>
      <c r="N84" s="199"/>
      <c r="S84" s="206">
        <f>INDEX(送付先一覧!A:O,MATCH(AV72,送付先一覧!A:A,0),12)</f>
        <v>666000</v>
      </c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199"/>
      <c r="AG84" s="199"/>
      <c r="AH84" s="199"/>
      <c r="AI84" s="199"/>
      <c r="AR84" s="15">
        <f t="shared" si="2"/>
        <v>16</v>
      </c>
    </row>
    <row r="85" spans="1:44" ht="18.75" customHeight="1">
      <c r="I85" s="199" t="str">
        <f>'1'!$I$17</f>
        <v>事業種別</v>
      </c>
      <c r="J85" s="199"/>
      <c r="K85" s="199"/>
      <c r="L85" s="199"/>
      <c r="M85" s="199"/>
      <c r="N85" s="199"/>
      <c r="O85" s="199"/>
      <c r="P85" s="199"/>
      <c r="Q85" s="199"/>
      <c r="R85" s="199"/>
      <c r="S85" s="199" t="str">
        <f>INDEX(送付先一覧!A:O,MATCH(AV72,送付先一覧!A:A,0),9)</f>
        <v>就労移行支援</v>
      </c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R85" s="15">
        <f t="shared" si="2"/>
        <v>17</v>
      </c>
    </row>
    <row r="86" spans="1:44" ht="18.75" customHeight="1">
      <c r="I86" s="199" t="str">
        <f>'1'!$I$18</f>
        <v>事業所名</v>
      </c>
      <c r="J86" s="199"/>
      <c r="K86" s="199"/>
      <c r="L86" s="199"/>
      <c r="M86" s="199"/>
      <c r="N86" s="199"/>
      <c r="O86" s="199"/>
      <c r="P86" s="199"/>
      <c r="Q86" s="199"/>
      <c r="R86" s="199"/>
      <c r="S86" s="204" t="str">
        <f>INDEX(送付先一覧!A:O,MATCH(AV72,送付先一覧!A:A,0),8)</f>
        <v>Rickeyクルーズ　長町南</v>
      </c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15">
        <f t="shared" si="2"/>
        <v>18</v>
      </c>
    </row>
    <row r="87" spans="1:44" ht="18.75" customHeight="1">
      <c r="I87" s="198"/>
      <c r="J87" s="198"/>
      <c r="K87" s="198"/>
      <c r="L87" s="198"/>
      <c r="M87" s="198"/>
      <c r="N87" s="198"/>
      <c r="O87" s="198"/>
      <c r="P87" s="198"/>
      <c r="Q87" s="198"/>
      <c r="R87" s="198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15">
        <f t="shared" si="2"/>
        <v>19</v>
      </c>
    </row>
    <row r="88" spans="1:44" ht="18.75" customHeight="1">
      <c r="I88" s="198"/>
      <c r="J88" s="198"/>
      <c r="K88" s="198"/>
      <c r="L88" s="198"/>
      <c r="M88" s="198"/>
      <c r="N88" s="198"/>
      <c r="O88" s="198"/>
      <c r="P88" s="198"/>
      <c r="Q88" s="198"/>
      <c r="R88" s="198"/>
      <c r="S88" s="198"/>
      <c r="T88" s="198"/>
      <c r="U88" s="198"/>
      <c r="V88" s="198"/>
      <c r="W88" s="198"/>
      <c r="X88" s="198"/>
      <c r="Y88" s="198"/>
      <c r="Z88" s="198"/>
      <c r="AA88" s="198"/>
      <c r="AB88" s="198"/>
      <c r="AC88" s="198"/>
      <c r="AD88" s="198"/>
      <c r="AE88" s="198"/>
      <c r="AF88" s="198"/>
      <c r="AG88" s="198"/>
      <c r="AH88" s="198"/>
      <c r="AI88" s="198"/>
      <c r="AR88" s="15">
        <f t="shared" si="2"/>
        <v>20</v>
      </c>
    </row>
    <row r="89" spans="1:44" ht="18.75" customHeight="1">
      <c r="A89" s="198"/>
      <c r="B89" s="198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198"/>
      <c r="Q89" s="198"/>
      <c r="R89" s="198"/>
      <c r="S89" s="198"/>
      <c r="T89" s="198"/>
      <c r="U89" s="198"/>
      <c r="V89" s="198"/>
      <c r="W89" s="198"/>
      <c r="X89" s="198"/>
      <c r="Y89" s="198"/>
      <c r="Z89" s="198"/>
      <c r="AA89" s="198"/>
      <c r="AB89" s="198"/>
      <c r="AC89" s="198"/>
      <c r="AD89" s="198"/>
      <c r="AE89" s="198"/>
      <c r="AF89" s="198"/>
      <c r="AG89" s="198"/>
      <c r="AH89" s="198"/>
      <c r="AI89" s="198"/>
      <c r="AJ89" s="198"/>
      <c r="AK89" s="198"/>
      <c r="AL89" s="198"/>
      <c r="AM89" s="198"/>
      <c r="AN89" s="198"/>
      <c r="AO89" s="198"/>
      <c r="AP89" s="198"/>
      <c r="AQ89" s="198"/>
      <c r="AR89" s="15">
        <f t="shared" si="2"/>
        <v>21</v>
      </c>
    </row>
    <row r="90" spans="1:44" ht="18.75" customHeight="1">
      <c r="A90" s="198"/>
      <c r="B90" s="198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  <c r="AA90" s="198"/>
      <c r="AB90" s="198"/>
      <c r="AC90" s="198"/>
      <c r="AD90" s="198"/>
      <c r="AE90" s="198"/>
      <c r="AF90" s="198"/>
      <c r="AG90" s="198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5">
        <f t="shared" si="2"/>
        <v>22</v>
      </c>
    </row>
    <row r="91" spans="1:44" ht="18.75" customHeight="1">
      <c r="A91" s="198"/>
      <c r="B91" s="198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8"/>
      <c r="Q91" s="198"/>
      <c r="R91" s="198"/>
      <c r="S91" s="198"/>
      <c r="T91" s="198"/>
      <c r="U91" s="198"/>
      <c r="V91" s="198"/>
      <c r="W91" s="198"/>
      <c r="X91" s="198"/>
      <c r="Y91" s="198"/>
      <c r="Z91" s="198"/>
      <c r="AA91" s="198"/>
      <c r="AB91" s="198"/>
      <c r="AC91" s="198"/>
      <c r="AD91" s="198"/>
      <c r="AE91" s="198"/>
      <c r="AF91" s="198"/>
      <c r="AG91" s="198"/>
      <c r="AH91" s="198"/>
      <c r="AI91" s="198"/>
      <c r="AJ91" s="198"/>
      <c r="AK91" s="198"/>
      <c r="AL91" s="198"/>
      <c r="AM91" s="198"/>
      <c r="AN91" s="198"/>
      <c r="AO91" s="198"/>
      <c r="AP91" s="198"/>
      <c r="AQ91" s="198"/>
      <c r="AR91" s="15">
        <f t="shared" si="2"/>
        <v>23</v>
      </c>
    </row>
    <row r="92" spans="1:44" ht="18.75" customHeight="1">
      <c r="A92" s="198"/>
      <c r="B92" s="198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198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5">
        <f t="shared" si="2"/>
        <v>24</v>
      </c>
    </row>
    <row r="93" spans="1:44" ht="18.75" customHeight="1">
      <c r="A93" s="198"/>
      <c r="B93" s="198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198"/>
      <c r="Y93" s="198"/>
      <c r="Z93" s="198"/>
      <c r="AA93" s="198"/>
      <c r="AB93" s="198"/>
      <c r="AC93" s="198"/>
      <c r="AD93" s="198"/>
      <c r="AE93" s="198"/>
      <c r="AF93" s="198"/>
      <c r="AG93" s="198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5">
        <f t="shared" si="2"/>
        <v>25</v>
      </c>
    </row>
    <row r="94" spans="1:44" ht="18.75" customHeight="1">
      <c r="A94" s="198"/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98"/>
      <c r="AE94" s="198"/>
      <c r="AF94" s="198"/>
      <c r="AG94" s="198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5">
        <f t="shared" si="2"/>
        <v>26</v>
      </c>
    </row>
    <row r="95" spans="1:44" ht="18.75" customHeight="1">
      <c r="A95" s="198"/>
      <c r="B95" s="198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8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5">
        <f t="shared" si="2"/>
        <v>27</v>
      </c>
    </row>
    <row r="96" spans="1:44" ht="18.75" customHeight="1">
      <c r="A96" s="198"/>
      <c r="B96" s="198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5">
        <f t="shared" si="2"/>
        <v>28</v>
      </c>
    </row>
    <row r="97" spans="1:48" ht="18.75" customHeight="1">
      <c r="A97" s="198"/>
      <c r="B97" s="198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198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5">
        <f t="shared" si="2"/>
        <v>29</v>
      </c>
    </row>
    <row r="98" spans="1:48" ht="18.75" customHeight="1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5">
        <f t="shared" si="2"/>
        <v>30</v>
      </c>
    </row>
    <row r="99" spans="1:48" ht="18.75" customHeight="1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5">
        <f t="shared" si="2"/>
        <v>31</v>
      </c>
    </row>
    <row r="100" spans="1:48" ht="18.75" customHeight="1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5">
        <f t="shared" si="2"/>
        <v>32</v>
      </c>
    </row>
    <row r="101" spans="1:48" ht="18.75" customHeight="1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5">
        <f t="shared" si="2"/>
        <v>33</v>
      </c>
    </row>
    <row r="102" spans="1:48" ht="18.75" customHeight="1">
      <c r="A102" s="198"/>
      <c r="B102" s="198"/>
      <c r="C102" s="198"/>
      <c r="D102" s="198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5">
        <f t="shared" si="2"/>
        <v>34</v>
      </c>
    </row>
    <row r="103" spans="1:48" ht="16.5" customHeight="1">
      <c r="A103" s="197"/>
      <c r="B103" s="197"/>
      <c r="AI103" s="200" t="str">
        <f>'1'!$AI$1</f>
        <v>R4健障障第100号</v>
      </c>
      <c r="AJ103" s="200"/>
      <c r="AK103" s="200"/>
      <c r="AL103" s="200"/>
      <c r="AM103" s="200"/>
      <c r="AN103" s="200"/>
      <c r="AO103" s="200"/>
      <c r="AP103" s="200"/>
      <c r="AQ103" s="200"/>
      <c r="AR103" s="15">
        <v>1</v>
      </c>
    </row>
    <row r="104" spans="1:48" ht="16.5" customHeight="1">
      <c r="A104" s="197"/>
      <c r="B104" s="197"/>
      <c r="AI104" s="201">
        <f>'1'!$AI$2</f>
        <v>44677</v>
      </c>
      <c r="AJ104" s="201"/>
      <c r="AK104" s="201"/>
      <c r="AL104" s="201"/>
      <c r="AM104" s="201"/>
      <c r="AN104" s="201"/>
      <c r="AO104" s="201"/>
      <c r="AP104" s="201"/>
      <c r="AQ104" s="201"/>
      <c r="AR104" s="15">
        <f>AR103+1</f>
        <v>2</v>
      </c>
    </row>
    <row r="105" spans="1:48" ht="18.75" customHeight="1">
      <c r="A105" s="198"/>
      <c r="B105" s="198"/>
      <c r="C105" s="198"/>
      <c r="D105" s="198"/>
      <c r="E105" s="198"/>
      <c r="F105" s="198"/>
      <c r="G105" s="198"/>
      <c r="H105" s="198"/>
      <c r="I105" s="198"/>
      <c r="J105" s="198"/>
      <c r="K105" s="198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98"/>
      <c r="AE105" s="198"/>
      <c r="AF105" s="198"/>
      <c r="AG105" s="198"/>
      <c r="AH105" s="198"/>
      <c r="AI105" s="198"/>
      <c r="AJ105" s="198"/>
      <c r="AK105" s="198"/>
      <c r="AL105" s="198"/>
      <c r="AM105" s="198"/>
      <c r="AN105" s="198"/>
      <c r="AO105" s="198"/>
      <c r="AP105" s="198"/>
      <c r="AQ105" s="198"/>
      <c r="AR105" s="15">
        <f t="shared" ref="AR105:AR136" si="3">AR104+1</f>
        <v>3</v>
      </c>
    </row>
    <row r="106" spans="1:48" ht="18.75" customHeight="1">
      <c r="A106" s="199" t="str">
        <f>INDEX(送付先一覧!A:O,MATCH(AV106,送付先一覧!A:A,0),4)</f>
        <v>株式会社ミツイ</v>
      </c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199"/>
      <c r="AL106" s="199"/>
      <c r="AM106" s="199"/>
      <c r="AN106" s="199"/>
      <c r="AO106" s="199"/>
      <c r="AP106" s="199"/>
      <c r="AQ106" s="199"/>
      <c r="AR106" s="15">
        <f t="shared" si="3"/>
        <v>4</v>
      </c>
      <c r="AV106" s="65">
        <f>AV72+1</f>
        <v>10</v>
      </c>
    </row>
    <row r="107" spans="1:48" ht="18.75" customHeight="1">
      <c r="A107" s="202" t="str">
        <f>INDEX(送付先一覧!A:O,MATCH(AV106,送付先一覧!A:A,0),5)</f>
        <v>代表取締役社長　金沢　和樹</v>
      </c>
      <c r="B107" s="202"/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  <c r="AM107" s="202"/>
      <c r="AN107" s="202"/>
      <c r="AO107" s="202"/>
      <c r="AP107" s="202"/>
      <c r="AQ107" s="202"/>
      <c r="AR107" s="15">
        <f t="shared" si="3"/>
        <v>5</v>
      </c>
    </row>
    <row r="108" spans="1:48" ht="18.75" customHeight="1">
      <c r="A108" s="198"/>
      <c r="B108" s="198"/>
      <c r="C108" s="198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98"/>
      <c r="AE108" s="198"/>
      <c r="AF108" s="198"/>
      <c r="AG108" s="198"/>
      <c r="AH108" s="198"/>
      <c r="AI108" s="198"/>
      <c r="AJ108" s="198"/>
      <c r="AK108" s="198"/>
      <c r="AL108" s="198"/>
      <c r="AM108" s="198"/>
      <c r="AN108" s="198"/>
      <c r="AO108" s="198"/>
      <c r="AP108" s="198"/>
      <c r="AQ108" s="198"/>
      <c r="AR108" s="15">
        <f t="shared" si="3"/>
        <v>6</v>
      </c>
    </row>
    <row r="109" spans="1:48" ht="18.75" customHeight="1">
      <c r="V109" s="199" t="str">
        <f>'1'!$V$7</f>
        <v>仙台市健康福祉局障害福祉部障害企画課長　　</v>
      </c>
      <c r="W109" s="199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199"/>
      <c r="AI109" s="199"/>
      <c r="AJ109" s="199"/>
      <c r="AK109" s="199"/>
      <c r="AL109" s="199"/>
      <c r="AM109" s="199"/>
      <c r="AN109" s="199"/>
      <c r="AO109" s="199"/>
      <c r="AP109" s="199"/>
      <c r="AQ109" s="199"/>
      <c r="AR109" s="15">
        <f t="shared" si="3"/>
        <v>7</v>
      </c>
    </row>
    <row r="110" spans="1:48" ht="18.75" customHeight="1">
      <c r="V110" s="199" t="str">
        <f>'1'!$V$8</f>
        <v>仙台市健康福祉局障害福祉部障害者支援課長　</v>
      </c>
      <c r="W110" s="199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199"/>
      <c r="AI110" s="199"/>
      <c r="AJ110" s="199"/>
      <c r="AK110" s="199"/>
      <c r="AL110" s="199"/>
      <c r="AM110" s="199"/>
      <c r="AN110" s="199"/>
      <c r="AO110" s="199"/>
      <c r="AP110" s="199"/>
      <c r="AQ110" s="199"/>
      <c r="AR110" s="15">
        <f t="shared" si="3"/>
        <v>8</v>
      </c>
    </row>
    <row r="111" spans="1:48" ht="18.75" customHeight="1">
      <c r="A111" s="198"/>
      <c r="B111" s="198"/>
      <c r="C111" s="198"/>
      <c r="D111" s="198"/>
      <c r="E111" s="198"/>
      <c r="F111" s="198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98"/>
      <c r="AE111" s="198"/>
      <c r="AF111" s="198"/>
      <c r="AG111" s="198"/>
      <c r="AH111" s="198"/>
      <c r="AI111" s="198"/>
      <c r="AJ111" s="198"/>
      <c r="AK111" s="198"/>
      <c r="AL111" s="198"/>
      <c r="AM111" s="198"/>
      <c r="AN111" s="198"/>
      <c r="AO111" s="198"/>
      <c r="AP111" s="198"/>
      <c r="AQ111" s="198"/>
      <c r="AR111" s="15">
        <f t="shared" si="3"/>
        <v>9</v>
      </c>
    </row>
    <row r="112" spans="1:48" ht="22.5" customHeight="1">
      <c r="A112" s="203" t="str">
        <f>'1'!$A$10</f>
        <v>令和４年度仙台市障害福祉分野のICT導入モデル事業補助金の内示について</v>
      </c>
      <c r="B112" s="203"/>
      <c r="C112" s="203"/>
      <c r="D112" s="203"/>
      <c r="E112" s="203"/>
      <c r="F112" s="203"/>
      <c r="G112" s="203"/>
      <c r="H112" s="203"/>
      <c r="I112" s="203"/>
      <c r="J112" s="203"/>
      <c r="K112" s="203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203"/>
      <c r="W112" s="203"/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I112" s="203"/>
      <c r="AJ112" s="203"/>
      <c r="AK112" s="203"/>
      <c r="AL112" s="203"/>
      <c r="AM112" s="203"/>
      <c r="AN112" s="203"/>
      <c r="AO112" s="203"/>
      <c r="AP112" s="203"/>
      <c r="AQ112" s="203"/>
      <c r="AR112" s="15">
        <f t="shared" si="3"/>
        <v>10</v>
      </c>
    </row>
    <row r="113" spans="1:44" ht="18.75" customHeight="1">
      <c r="A113" s="198"/>
      <c r="B113" s="198"/>
      <c r="C113" s="198"/>
      <c r="D113" s="198"/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98"/>
      <c r="AE113" s="198"/>
      <c r="AF113" s="198"/>
      <c r="AG113" s="198"/>
      <c r="AH113" s="198"/>
      <c r="AI113" s="198"/>
      <c r="AJ113" s="198"/>
      <c r="AK113" s="198"/>
      <c r="AL113" s="198"/>
      <c r="AM113" s="198"/>
      <c r="AN113" s="198"/>
      <c r="AO113" s="198"/>
      <c r="AP113" s="198"/>
      <c r="AQ113" s="198"/>
      <c r="AR113" s="15">
        <f t="shared" si="3"/>
        <v>11</v>
      </c>
    </row>
    <row r="114" spans="1:44" ht="93.75" customHeight="1">
      <c r="A114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14" s="205"/>
      <c r="C114" s="205"/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5"/>
      <c r="AE114" s="205"/>
      <c r="AF114" s="205"/>
      <c r="AG114" s="205"/>
      <c r="AH114" s="205"/>
      <c r="AI114" s="205"/>
      <c r="AJ114" s="205"/>
      <c r="AK114" s="205"/>
      <c r="AL114" s="205"/>
      <c r="AM114" s="205"/>
      <c r="AN114" s="205"/>
      <c r="AO114" s="205"/>
      <c r="AP114" s="205"/>
      <c r="AQ114" s="205"/>
      <c r="AR114" s="15">
        <f t="shared" si="3"/>
        <v>12</v>
      </c>
    </row>
    <row r="115" spans="1:44" ht="18.75" customHeight="1">
      <c r="A115" s="198"/>
      <c r="B115" s="198"/>
      <c r="C115" s="198"/>
      <c r="D115" s="198"/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5">
        <f t="shared" si="3"/>
        <v>13</v>
      </c>
    </row>
    <row r="116" spans="1:44" ht="18.75" customHeight="1">
      <c r="A116" s="197" t="str">
        <f>'1'!$A$14</f>
        <v>記</v>
      </c>
      <c r="B116" s="197"/>
      <c r="C116" s="197"/>
      <c r="D116" s="197"/>
      <c r="E116" s="197"/>
      <c r="F116" s="197"/>
      <c r="G116" s="197"/>
      <c r="H116" s="197"/>
      <c r="I116" s="197"/>
      <c r="J116" s="197"/>
      <c r="K116" s="197"/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/>
      <c r="AF116" s="197"/>
      <c r="AG116" s="197"/>
      <c r="AH116" s="197"/>
      <c r="AI116" s="197"/>
      <c r="AJ116" s="197"/>
      <c r="AK116" s="197"/>
      <c r="AL116" s="197"/>
      <c r="AM116" s="197"/>
      <c r="AN116" s="197"/>
      <c r="AO116" s="197"/>
      <c r="AP116" s="197"/>
      <c r="AQ116" s="197"/>
      <c r="AR116" s="15">
        <f t="shared" si="3"/>
        <v>14</v>
      </c>
    </row>
    <row r="117" spans="1:44" ht="18.75" customHeight="1">
      <c r="A117" s="198"/>
      <c r="B117" s="198"/>
      <c r="C117" s="198"/>
      <c r="D117" s="198"/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5">
        <f t="shared" si="3"/>
        <v>15</v>
      </c>
    </row>
    <row r="118" spans="1:44" ht="18.75" customHeight="1">
      <c r="I118" s="199" t="str">
        <f>'1'!$I$16</f>
        <v>補助内示額</v>
      </c>
      <c r="J118" s="199"/>
      <c r="K118" s="199"/>
      <c r="L118" s="199"/>
      <c r="M118" s="199"/>
      <c r="N118" s="199"/>
      <c r="S118" s="206">
        <f>INDEX(送付先一覧!A:O,MATCH(AV106,送付先一覧!A:A,0),12)</f>
        <v>666000</v>
      </c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199"/>
      <c r="AG118" s="199"/>
      <c r="AH118" s="199"/>
      <c r="AI118" s="199"/>
      <c r="AR118" s="15">
        <f t="shared" si="3"/>
        <v>16</v>
      </c>
    </row>
    <row r="119" spans="1:44" ht="18.75" customHeight="1">
      <c r="I119" s="199" t="str">
        <f>'1'!$I$17</f>
        <v>事業種別</v>
      </c>
      <c r="J119" s="199"/>
      <c r="K119" s="199"/>
      <c r="L119" s="199"/>
      <c r="M119" s="199"/>
      <c r="N119" s="199"/>
      <c r="O119" s="199"/>
      <c r="P119" s="199"/>
      <c r="Q119" s="199"/>
      <c r="R119" s="199"/>
      <c r="S119" s="199" t="str">
        <f>INDEX(送付先一覧!A:O,MATCH(AV106,送付先一覧!A:A,0),9)</f>
        <v>放課後等デイサービス</v>
      </c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199"/>
      <c r="AR119" s="15">
        <f t="shared" si="3"/>
        <v>17</v>
      </c>
    </row>
    <row r="120" spans="1:44" ht="18.75" customHeight="1">
      <c r="I120" s="199" t="str">
        <f>'1'!$I$18</f>
        <v>事業所名</v>
      </c>
      <c r="J120" s="199"/>
      <c r="K120" s="199"/>
      <c r="L120" s="199"/>
      <c r="M120" s="199"/>
      <c r="N120" s="199"/>
      <c r="O120" s="199"/>
      <c r="P120" s="199"/>
      <c r="Q120" s="199"/>
      <c r="R120" s="199"/>
      <c r="S120" s="204" t="str">
        <f>INDEX(送付先一覧!A:O,MATCH(AV106,送付先一覧!A:A,0),8)</f>
        <v>Rickeyアカデミージュニア　仙台西中田</v>
      </c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204"/>
      <c r="AE120" s="204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15">
        <f t="shared" si="3"/>
        <v>18</v>
      </c>
    </row>
    <row r="121" spans="1:44" ht="18.75" customHeight="1"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15">
        <f t="shared" si="3"/>
        <v>19</v>
      </c>
    </row>
    <row r="122" spans="1:44" ht="18.75" customHeight="1"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R122" s="15">
        <f t="shared" si="3"/>
        <v>20</v>
      </c>
    </row>
    <row r="123" spans="1:44" ht="18.75" customHeight="1">
      <c r="A123" s="198"/>
      <c r="B123" s="198"/>
      <c r="C123" s="198"/>
      <c r="D123" s="198"/>
      <c r="E123" s="198"/>
      <c r="F123" s="198"/>
      <c r="G123" s="198"/>
      <c r="H123" s="198"/>
      <c r="I123" s="198"/>
      <c r="J123" s="198"/>
      <c r="K123" s="198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  <c r="AF123" s="198"/>
      <c r="AG123" s="198"/>
      <c r="AH123" s="198"/>
      <c r="AI123" s="198"/>
      <c r="AJ123" s="198"/>
      <c r="AK123" s="198"/>
      <c r="AL123" s="198"/>
      <c r="AM123" s="198"/>
      <c r="AN123" s="198"/>
      <c r="AO123" s="198"/>
      <c r="AP123" s="198"/>
      <c r="AQ123" s="198"/>
      <c r="AR123" s="15">
        <f t="shared" si="3"/>
        <v>21</v>
      </c>
    </row>
    <row r="124" spans="1:44" ht="18.75" customHeight="1">
      <c r="A124" s="198"/>
      <c r="B124" s="198"/>
      <c r="C124" s="198"/>
      <c r="D124" s="198"/>
      <c r="E124" s="198"/>
      <c r="F124" s="198"/>
      <c r="G124" s="198"/>
      <c r="H124" s="198"/>
      <c r="I124" s="198"/>
      <c r="J124" s="198"/>
      <c r="K124" s="198"/>
      <c r="L124" s="198"/>
      <c r="M124" s="198"/>
      <c r="N124" s="198"/>
      <c r="O124" s="198"/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98"/>
      <c r="AE124" s="198"/>
      <c r="AF124" s="198"/>
      <c r="AG124" s="198"/>
      <c r="AH124" s="198"/>
      <c r="AI124" s="198"/>
      <c r="AJ124" s="198"/>
      <c r="AK124" s="198"/>
      <c r="AL124" s="198"/>
      <c r="AM124" s="198"/>
      <c r="AN124" s="198"/>
      <c r="AO124" s="198"/>
      <c r="AP124" s="198"/>
      <c r="AQ124" s="198"/>
      <c r="AR124" s="15">
        <f t="shared" si="3"/>
        <v>22</v>
      </c>
    </row>
    <row r="125" spans="1:44" ht="18.75" customHeight="1">
      <c r="A125" s="198"/>
      <c r="B125" s="198"/>
      <c r="C125" s="198"/>
      <c r="D125" s="198"/>
      <c r="E125" s="198"/>
      <c r="F125" s="198"/>
      <c r="G125" s="198"/>
      <c r="H125" s="198"/>
      <c r="I125" s="198"/>
      <c r="J125" s="198"/>
      <c r="K125" s="198"/>
      <c r="L125" s="198"/>
      <c r="M125" s="198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  <c r="AF125" s="198"/>
      <c r="AG125" s="198"/>
      <c r="AH125" s="198"/>
      <c r="AI125" s="198"/>
      <c r="AJ125" s="198"/>
      <c r="AK125" s="198"/>
      <c r="AL125" s="198"/>
      <c r="AM125" s="198"/>
      <c r="AN125" s="198"/>
      <c r="AO125" s="198"/>
      <c r="AP125" s="198"/>
      <c r="AQ125" s="198"/>
      <c r="AR125" s="15">
        <f t="shared" si="3"/>
        <v>23</v>
      </c>
    </row>
    <row r="126" spans="1:44" ht="18.75" customHeight="1">
      <c r="A126" s="198"/>
      <c r="B126" s="198"/>
      <c r="C126" s="198"/>
      <c r="D126" s="198"/>
      <c r="E126" s="198"/>
      <c r="F126" s="198"/>
      <c r="G126" s="198"/>
      <c r="H126" s="198"/>
      <c r="I126" s="198"/>
      <c r="J126" s="198"/>
      <c r="K126" s="198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8"/>
      <c r="AE126" s="198"/>
      <c r="AF126" s="198"/>
      <c r="AG126" s="198"/>
      <c r="AH126" s="198"/>
      <c r="AI126" s="198"/>
      <c r="AJ126" s="198"/>
      <c r="AK126" s="198"/>
      <c r="AL126" s="198"/>
      <c r="AM126" s="198"/>
      <c r="AN126" s="198"/>
      <c r="AO126" s="198"/>
      <c r="AP126" s="198"/>
      <c r="AQ126" s="198"/>
      <c r="AR126" s="15">
        <f t="shared" si="3"/>
        <v>24</v>
      </c>
    </row>
    <row r="127" spans="1:44" ht="18.75" customHeight="1">
      <c r="A127" s="198"/>
      <c r="B127" s="198"/>
      <c r="C127" s="198"/>
      <c r="D127" s="198"/>
      <c r="E127" s="198"/>
      <c r="F127" s="198"/>
      <c r="G127" s="198"/>
      <c r="H127" s="198"/>
      <c r="I127" s="198"/>
      <c r="J127" s="198"/>
      <c r="K127" s="198"/>
      <c r="L127" s="198"/>
      <c r="M127" s="198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  <c r="AF127" s="198"/>
      <c r="AG127" s="198"/>
      <c r="AH127" s="198"/>
      <c r="AI127" s="198"/>
      <c r="AJ127" s="198"/>
      <c r="AK127" s="198"/>
      <c r="AL127" s="198"/>
      <c r="AM127" s="198"/>
      <c r="AN127" s="198"/>
      <c r="AO127" s="198"/>
      <c r="AP127" s="198"/>
      <c r="AQ127" s="198"/>
      <c r="AR127" s="15">
        <f t="shared" si="3"/>
        <v>25</v>
      </c>
    </row>
    <row r="128" spans="1:44" ht="18.75" customHeight="1">
      <c r="A128" s="198"/>
      <c r="B128" s="198"/>
      <c r="C128" s="198"/>
      <c r="D128" s="198"/>
      <c r="E128" s="198"/>
      <c r="F128" s="198"/>
      <c r="G128" s="198"/>
      <c r="H128" s="198"/>
      <c r="I128" s="198"/>
      <c r="J128" s="198"/>
      <c r="K128" s="198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  <c r="AF128" s="198"/>
      <c r="AG128" s="198"/>
      <c r="AH128" s="198"/>
      <c r="AI128" s="198"/>
      <c r="AJ128" s="198"/>
      <c r="AK128" s="198"/>
      <c r="AL128" s="198"/>
      <c r="AM128" s="198"/>
      <c r="AN128" s="198"/>
      <c r="AO128" s="198"/>
      <c r="AP128" s="198"/>
      <c r="AQ128" s="198"/>
      <c r="AR128" s="15">
        <f t="shared" si="3"/>
        <v>26</v>
      </c>
    </row>
    <row r="129" spans="1:48" ht="18.75" customHeight="1">
      <c r="A129" s="198"/>
      <c r="B129" s="198"/>
      <c r="C129" s="198"/>
      <c r="D129" s="198"/>
      <c r="E129" s="198"/>
      <c r="F129" s="198"/>
      <c r="G129" s="198"/>
      <c r="H129" s="198"/>
      <c r="I129" s="198"/>
      <c r="J129" s="198"/>
      <c r="K129" s="198"/>
      <c r="L129" s="198"/>
      <c r="M129" s="198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  <c r="AF129" s="198"/>
      <c r="AG129" s="198"/>
      <c r="AH129" s="198"/>
      <c r="AI129" s="198"/>
      <c r="AJ129" s="198"/>
      <c r="AK129" s="198"/>
      <c r="AL129" s="198"/>
      <c r="AM129" s="198"/>
      <c r="AN129" s="198"/>
      <c r="AO129" s="198"/>
      <c r="AP129" s="198"/>
      <c r="AQ129" s="198"/>
      <c r="AR129" s="15">
        <f t="shared" si="3"/>
        <v>27</v>
      </c>
    </row>
    <row r="130" spans="1:48" ht="18.75" customHeight="1">
      <c r="A130" s="198"/>
      <c r="B130" s="198"/>
      <c r="C130" s="198"/>
      <c r="D130" s="198"/>
      <c r="E130" s="198"/>
      <c r="F130" s="198"/>
      <c r="G130" s="198"/>
      <c r="H130" s="198"/>
      <c r="I130" s="198"/>
      <c r="J130" s="198"/>
      <c r="K130" s="198"/>
      <c r="L130" s="198"/>
      <c r="M130" s="198"/>
      <c r="N130" s="198"/>
      <c r="O130" s="198"/>
      <c r="P130" s="198"/>
      <c r="Q130" s="198"/>
      <c r="R130" s="198"/>
      <c r="S130" s="198"/>
      <c r="T130" s="198"/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  <c r="AF130" s="198"/>
      <c r="AG130" s="198"/>
      <c r="AH130" s="198"/>
      <c r="AI130" s="198"/>
      <c r="AJ130" s="198"/>
      <c r="AK130" s="198"/>
      <c r="AL130" s="198"/>
      <c r="AM130" s="198"/>
      <c r="AN130" s="198"/>
      <c r="AO130" s="198"/>
      <c r="AP130" s="198"/>
      <c r="AQ130" s="198"/>
      <c r="AR130" s="15">
        <f t="shared" si="3"/>
        <v>28</v>
      </c>
    </row>
    <row r="131" spans="1:48" ht="18.75" customHeight="1">
      <c r="A131" s="198"/>
      <c r="B131" s="198"/>
      <c r="C131" s="198"/>
      <c r="D131" s="198"/>
      <c r="E131" s="198"/>
      <c r="F131" s="198"/>
      <c r="G131" s="198"/>
      <c r="H131" s="198"/>
      <c r="I131" s="198"/>
      <c r="J131" s="198"/>
      <c r="K131" s="198"/>
      <c r="L131" s="198"/>
      <c r="M131" s="198"/>
      <c r="N131" s="198"/>
      <c r="O131" s="198"/>
      <c r="P131" s="198"/>
      <c r="Q131" s="198"/>
      <c r="R131" s="198"/>
      <c r="S131" s="198"/>
      <c r="T131" s="198"/>
      <c r="U131" s="198"/>
      <c r="V131" s="198"/>
      <c r="W131" s="198"/>
      <c r="X131" s="198"/>
      <c r="Y131" s="198"/>
      <c r="Z131" s="198"/>
      <c r="AA131" s="198"/>
      <c r="AB131" s="198"/>
      <c r="AC131" s="198"/>
      <c r="AD131" s="198"/>
      <c r="AE131" s="198"/>
      <c r="AF131" s="198"/>
      <c r="AG131" s="198"/>
      <c r="AH131" s="198"/>
      <c r="AI131" s="198"/>
      <c r="AJ131" s="198"/>
      <c r="AK131" s="198"/>
      <c r="AL131" s="198"/>
      <c r="AM131" s="198"/>
      <c r="AN131" s="198"/>
      <c r="AO131" s="198"/>
      <c r="AP131" s="198"/>
      <c r="AQ131" s="198"/>
      <c r="AR131" s="15">
        <f t="shared" si="3"/>
        <v>29</v>
      </c>
    </row>
    <row r="132" spans="1:48" ht="18.75" customHeight="1">
      <c r="A132" s="198"/>
      <c r="B132" s="198"/>
      <c r="C132" s="198"/>
      <c r="D132" s="198"/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8"/>
      <c r="Y132" s="198"/>
      <c r="Z132" s="198"/>
      <c r="AA132" s="198"/>
      <c r="AB132" s="198"/>
      <c r="AC132" s="198"/>
      <c r="AD132" s="198"/>
      <c r="AE132" s="198"/>
      <c r="AF132" s="198"/>
      <c r="AG132" s="198"/>
      <c r="AH132" s="198"/>
      <c r="AI132" s="198"/>
      <c r="AJ132" s="198"/>
      <c r="AK132" s="198"/>
      <c r="AL132" s="198"/>
      <c r="AM132" s="198"/>
      <c r="AN132" s="198"/>
      <c r="AO132" s="198"/>
      <c r="AP132" s="198"/>
      <c r="AQ132" s="198"/>
      <c r="AR132" s="15">
        <f t="shared" si="3"/>
        <v>30</v>
      </c>
    </row>
    <row r="133" spans="1:48" ht="18.75" customHeight="1">
      <c r="A133" s="198"/>
      <c r="B133" s="198"/>
      <c r="C133" s="198"/>
      <c r="D133" s="198"/>
      <c r="E133" s="198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8"/>
      <c r="Y133" s="198"/>
      <c r="Z133" s="198"/>
      <c r="AA133" s="198"/>
      <c r="AB133" s="198"/>
      <c r="AC133" s="198"/>
      <c r="AD133" s="198"/>
      <c r="AE133" s="198"/>
      <c r="AF133" s="198"/>
      <c r="AG133" s="198"/>
      <c r="AH133" s="198"/>
      <c r="AI133" s="198"/>
      <c r="AJ133" s="198"/>
      <c r="AK133" s="198"/>
      <c r="AL133" s="198"/>
      <c r="AM133" s="198"/>
      <c r="AN133" s="198"/>
      <c r="AO133" s="198"/>
      <c r="AP133" s="198"/>
      <c r="AQ133" s="198"/>
      <c r="AR133" s="15">
        <f t="shared" si="3"/>
        <v>31</v>
      </c>
    </row>
    <row r="134" spans="1:48" ht="18.75" customHeight="1">
      <c r="A134" s="198"/>
      <c r="B134" s="198"/>
      <c r="C134" s="198"/>
      <c r="D134" s="198"/>
      <c r="E134" s="198"/>
      <c r="F134" s="198"/>
      <c r="G134" s="198"/>
      <c r="H134" s="198"/>
      <c r="I134" s="198"/>
      <c r="J134" s="198"/>
      <c r="K134" s="198"/>
      <c r="L134" s="198"/>
      <c r="M134" s="198"/>
      <c r="N134" s="198"/>
      <c r="O134" s="198"/>
      <c r="P134" s="198"/>
      <c r="Q134" s="198"/>
      <c r="R134" s="198"/>
      <c r="S134" s="198"/>
      <c r="T134" s="198"/>
      <c r="U134" s="198"/>
      <c r="V134" s="198"/>
      <c r="W134" s="198"/>
      <c r="X134" s="198"/>
      <c r="Y134" s="198"/>
      <c r="Z134" s="198"/>
      <c r="AA134" s="198"/>
      <c r="AB134" s="198"/>
      <c r="AC134" s="198"/>
      <c r="AD134" s="198"/>
      <c r="AE134" s="198"/>
      <c r="AF134" s="198"/>
      <c r="AG134" s="198"/>
      <c r="AH134" s="198"/>
      <c r="AI134" s="198"/>
      <c r="AJ134" s="198"/>
      <c r="AK134" s="198"/>
      <c r="AL134" s="198"/>
      <c r="AM134" s="198"/>
      <c r="AN134" s="198"/>
      <c r="AO134" s="198"/>
      <c r="AP134" s="198"/>
      <c r="AQ134" s="198"/>
      <c r="AR134" s="15">
        <f t="shared" si="3"/>
        <v>32</v>
      </c>
    </row>
    <row r="135" spans="1:48" ht="18.75" customHeight="1">
      <c r="A135" s="198"/>
      <c r="B135" s="198"/>
      <c r="C135" s="198"/>
      <c r="D135" s="198"/>
      <c r="E135" s="198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  <c r="P135" s="198"/>
      <c r="Q135" s="198"/>
      <c r="R135" s="198"/>
      <c r="S135" s="198"/>
      <c r="T135" s="198"/>
      <c r="U135" s="198"/>
      <c r="V135" s="198"/>
      <c r="W135" s="198"/>
      <c r="X135" s="198"/>
      <c r="Y135" s="198"/>
      <c r="Z135" s="198"/>
      <c r="AA135" s="198"/>
      <c r="AB135" s="198"/>
      <c r="AC135" s="198"/>
      <c r="AD135" s="198"/>
      <c r="AE135" s="198"/>
      <c r="AF135" s="198"/>
      <c r="AG135" s="198"/>
      <c r="AH135" s="198"/>
      <c r="AI135" s="198"/>
      <c r="AJ135" s="198"/>
      <c r="AK135" s="198"/>
      <c r="AL135" s="198"/>
      <c r="AM135" s="198"/>
      <c r="AN135" s="198"/>
      <c r="AO135" s="198"/>
      <c r="AP135" s="198"/>
      <c r="AQ135" s="198"/>
      <c r="AR135" s="15">
        <f t="shared" si="3"/>
        <v>33</v>
      </c>
    </row>
    <row r="136" spans="1:48" ht="18.75" customHeight="1">
      <c r="A136" s="198"/>
      <c r="B136" s="198"/>
      <c r="C136" s="198"/>
      <c r="D136" s="198"/>
      <c r="E136" s="198"/>
      <c r="F136" s="198"/>
      <c r="G136" s="198"/>
      <c r="H136" s="198"/>
      <c r="I136" s="198"/>
      <c r="J136" s="198"/>
      <c r="K136" s="198"/>
      <c r="L136" s="198"/>
      <c r="M136" s="198"/>
      <c r="N136" s="198"/>
      <c r="O136" s="198"/>
      <c r="P136" s="198"/>
      <c r="Q136" s="198"/>
      <c r="R136" s="198"/>
      <c r="S136" s="198"/>
      <c r="T136" s="198"/>
      <c r="U136" s="198"/>
      <c r="V136" s="198"/>
      <c r="W136" s="198"/>
      <c r="X136" s="198"/>
      <c r="Y136" s="198"/>
      <c r="Z136" s="198"/>
      <c r="AA136" s="198"/>
      <c r="AB136" s="198"/>
      <c r="AC136" s="198"/>
      <c r="AD136" s="198"/>
      <c r="AE136" s="198"/>
      <c r="AF136" s="198"/>
      <c r="AG136" s="198"/>
      <c r="AH136" s="198"/>
      <c r="AI136" s="198"/>
      <c r="AJ136" s="198"/>
      <c r="AK136" s="198"/>
      <c r="AL136" s="198"/>
      <c r="AM136" s="198"/>
      <c r="AN136" s="198"/>
      <c r="AO136" s="198"/>
      <c r="AP136" s="198"/>
      <c r="AQ136" s="198"/>
      <c r="AR136" s="15">
        <f t="shared" si="3"/>
        <v>34</v>
      </c>
    </row>
    <row r="137" spans="1:48" ht="16.5" customHeight="1">
      <c r="A137" s="197"/>
      <c r="B137" s="197"/>
      <c r="AI137" s="200" t="str">
        <f>'1'!$AI$1</f>
        <v>R4健障障第100号</v>
      </c>
      <c r="AJ137" s="200"/>
      <c r="AK137" s="200"/>
      <c r="AL137" s="200"/>
      <c r="AM137" s="200"/>
      <c r="AN137" s="200"/>
      <c r="AO137" s="200"/>
      <c r="AP137" s="200"/>
      <c r="AQ137" s="200"/>
      <c r="AR137" s="15">
        <v>1</v>
      </c>
    </row>
    <row r="138" spans="1:48" ht="16.5" customHeight="1">
      <c r="A138" s="197"/>
      <c r="B138" s="197"/>
      <c r="AI138" s="201">
        <f>'1'!$AI$2</f>
        <v>44677</v>
      </c>
      <c r="AJ138" s="201"/>
      <c r="AK138" s="201"/>
      <c r="AL138" s="201"/>
      <c r="AM138" s="201"/>
      <c r="AN138" s="201"/>
      <c r="AO138" s="201"/>
      <c r="AP138" s="201"/>
      <c r="AQ138" s="201"/>
      <c r="AR138" s="15">
        <f>AR137+1</f>
        <v>2</v>
      </c>
    </row>
    <row r="139" spans="1:48" ht="18.75" customHeight="1">
      <c r="A139" s="198"/>
      <c r="B139" s="198"/>
      <c r="C139" s="198"/>
      <c r="D139" s="198"/>
      <c r="E139" s="198"/>
      <c r="F139" s="198"/>
      <c r="G139" s="198"/>
      <c r="H139" s="198"/>
      <c r="I139" s="198"/>
      <c r="J139" s="198"/>
      <c r="K139" s="198"/>
      <c r="L139" s="198"/>
      <c r="M139" s="198"/>
      <c r="N139" s="198"/>
      <c r="O139" s="198"/>
      <c r="P139" s="198"/>
      <c r="Q139" s="198"/>
      <c r="R139" s="198"/>
      <c r="S139" s="198"/>
      <c r="T139" s="198"/>
      <c r="U139" s="198"/>
      <c r="V139" s="198"/>
      <c r="W139" s="198"/>
      <c r="X139" s="198"/>
      <c r="Y139" s="198"/>
      <c r="Z139" s="198"/>
      <c r="AA139" s="198"/>
      <c r="AB139" s="198"/>
      <c r="AC139" s="198"/>
      <c r="AD139" s="198"/>
      <c r="AE139" s="198"/>
      <c r="AF139" s="198"/>
      <c r="AG139" s="198"/>
      <c r="AH139" s="198"/>
      <c r="AI139" s="198"/>
      <c r="AJ139" s="198"/>
      <c r="AK139" s="198"/>
      <c r="AL139" s="198"/>
      <c r="AM139" s="198"/>
      <c r="AN139" s="198"/>
      <c r="AO139" s="198"/>
      <c r="AP139" s="198"/>
      <c r="AQ139" s="198"/>
      <c r="AR139" s="15">
        <f t="shared" ref="AR139:AR170" si="4">AR138+1</f>
        <v>3</v>
      </c>
    </row>
    <row r="140" spans="1:48" ht="18.75" customHeight="1">
      <c r="A140" s="199" t="str">
        <f>INDEX(送付先一覧!A:O,MATCH(AV140,送付先一覧!A:A,0),4)</f>
        <v>株式会社ミツイ</v>
      </c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  <c r="Z140" s="199"/>
      <c r="AA140" s="199"/>
      <c r="AB140" s="199"/>
      <c r="AC140" s="199"/>
      <c r="AD140" s="199"/>
      <c r="AE140" s="199"/>
      <c r="AF140" s="199"/>
      <c r="AG140" s="199"/>
      <c r="AH140" s="199"/>
      <c r="AI140" s="199"/>
      <c r="AJ140" s="199"/>
      <c r="AK140" s="199"/>
      <c r="AL140" s="199"/>
      <c r="AM140" s="199"/>
      <c r="AN140" s="199"/>
      <c r="AO140" s="199"/>
      <c r="AP140" s="199"/>
      <c r="AQ140" s="199"/>
      <c r="AR140" s="15">
        <f t="shared" si="4"/>
        <v>4</v>
      </c>
      <c r="AV140" s="65">
        <f>AV106+1</f>
        <v>11</v>
      </c>
    </row>
    <row r="141" spans="1:48" ht="18.75" customHeight="1">
      <c r="A141" s="202" t="str">
        <f>INDEX(送付先一覧!A:O,MATCH(AV140,送付先一覧!A:A,0),5)</f>
        <v>代表取締役社長　金沢　和樹</v>
      </c>
      <c r="B141" s="202"/>
      <c r="C141" s="202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15">
        <f t="shared" si="4"/>
        <v>5</v>
      </c>
    </row>
    <row r="142" spans="1:48" ht="18.75" customHeight="1">
      <c r="A142" s="198"/>
      <c r="B142" s="198"/>
      <c r="C142" s="198"/>
      <c r="D142" s="198"/>
      <c r="E142" s="198"/>
      <c r="F142" s="198"/>
      <c r="G142" s="198"/>
      <c r="H142" s="198"/>
      <c r="I142" s="198"/>
      <c r="J142" s="198"/>
      <c r="K142" s="198"/>
      <c r="L142" s="198"/>
      <c r="M142" s="198"/>
      <c r="N142" s="198"/>
      <c r="O142" s="198"/>
      <c r="P142" s="198"/>
      <c r="Q142" s="198"/>
      <c r="R142" s="198"/>
      <c r="S142" s="198"/>
      <c r="T142" s="198"/>
      <c r="U142" s="198"/>
      <c r="V142" s="198"/>
      <c r="W142" s="198"/>
      <c r="X142" s="198"/>
      <c r="Y142" s="198"/>
      <c r="Z142" s="198"/>
      <c r="AA142" s="198"/>
      <c r="AB142" s="198"/>
      <c r="AC142" s="198"/>
      <c r="AD142" s="198"/>
      <c r="AE142" s="198"/>
      <c r="AF142" s="198"/>
      <c r="AG142" s="198"/>
      <c r="AH142" s="198"/>
      <c r="AI142" s="198"/>
      <c r="AJ142" s="198"/>
      <c r="AK142" s="198"/>
      <c r="AL142" s="198"/>
      <c r="AM142" s="198"/>
      <c r="AN142" s="198"/>
      <c r="AO142" s="198"/>
      <c r="AP142" s="198"/>
      <c r="AQ142" s="198"/>
      <c r="AR142" s="15">
        <f t="shared" si="4"/>
        <v>6</v>
      </c>
    </row>
    <row r="143" spans="1:48" ht="18.75" customHeight="1">
      <c r="V143" s="199" t="str">
        <f>'1'!$V$7</f>
        <v>仙台市健康福祉局障害福祉部障害企画課長　　</v>
      </c>
      <c r="W143" s="199"/>
      <c r="X143" s="199"/>
      <c r="Y143" s="199"/>
      <c r="Z143" s="199"/>
      <c r="AA143" s="199"/>
      <c r="AB143" s="199"/>
      <c r="AC143" s="199"/>
      <c r="AD143" s="199"/>
      <c r="AE143" s="199"/>
      <c r="AF143" s="199"/>
      <c r="AG143" s="199"/>
      <c r="AH143" s="199"/>
      <c r="AI143" s="199"/>
      <c r="AJ143" s="199"/>
      <c r="AK143" s="199"/>
      <c r="AL143" s="199"/>
      <c r="AM143" s="199"/>
      <c r="AN143" s="199"/>
      <c r="AO143" s="199"/>
      <c r="AP143" s="199"/>
      <c r="AQ143" s="199"/>
      <c r="AR143" s="15">
        <f t="shared" si="4"/>
        <v>7</v>
      </c>
    </row>
    <row r="144" spans="1:48" ht="18.75" customHeight="1">
      <c r="V144" s="199" t="str">
        <f>'1'!$V$8</f>
        <v>仙台市健康福祉局障害福祉部障害者支援課長　</v>
      </c>
      <c r="W144" s="199"/>
      <c r="X144" s="199"/>
      <c r="Y144" s="199"/>
      <c r="Z144" s="199"/>
      <c r="AA144" s="199"/>
      <c r="AB144" s="199"/>
      <c r="AC144" s="199"/>
      <c r="AD144" s="199"/>
      <c r="AE144" s="199"/>
      <c r="AF144" s="199"/>
      <c r="AG144" s="199"/>
      <c r="AH144" s="199"/>
      <c r="AI144" s="199"/>
      <c r="AJ144" s="199"/>
      <c r="AK144" s="199"/>
      <c r="AL144" s="199"/>
      <c r="AM144" s="199"/>
      <c r="AN144" s="199"/>
      <c r="AO144" s="199"/>
      <c r="AP144" s="199"/>
      <c r="AQ144" s="199"/>
      <c r="AR144" s="15">
        <f t="shared" si="4"/>
        <v>8</v>
      </c>
    </row>
    <row r="145" spans="1:44" ht="18.75" customHeight="1">
      <c r="A145" s="198"/>
      <c r="B145" s="198"/>
      <c r="C145" s="198"/>
      <c r="D145" s="198"/>
      <c r="E145" s="198"/>
      <c r="F145" s="198"/>
      <c r="G145" s="198"/>
      <c r="H145" s="198"/>
      <c r="I145" s="198"/>
      <c r="J145" s="198"/>
      <c r="K145" s="198"/>
      <c r="L145" s="198"/>
      <c r="M145" s="198"/>
      <c r="N145" s="198"/>
      <c r="O145" s="198"/>
      <c r="P145" s="198"/>
      <c r="Q145" s="198"/>
      <c r="R145" s="198"/>
      <c r="S145" s="198"/>
      <c r="T145" s="198"/>
      <c r="U145" s="198"/>
      <c r="V145" s="198"/>
      <c r="W145" s="198"/>
      <c r="X145" s="198"/>
      <c r="Y145" s="198"/>
      <c r="Z145" s="198"/>
      <c r="AA145" s="198"/>
      <c r="AB145" s="198"/>
      <c r="AC145" s="198"/>
      <c r="AD145" s="198"/>
      <c r="AE145" s="198"/>
      <c r="AF145" s="198"/>
      <c r="AG145" s="198"/>
      <c r="AH145" s="198"/>
      <c r="AI145" s="198"/>
      <c r="AJ145" s="198"/>
      <c r="AK145" s="198"/>
      <c r="AL145" s="198"/>
      <c r="AM145" s="198"/>
      <c r="AN145" s="198"/>
      <c r="AO145" s="198"/>
      <c r="AP145" s="198"/>
      <c r="AQ145" s="198"/>
      <c r="AR145" s="15">
        <f t="shared" si="4"/>
        <v>9</v>
      </c>
    </row>
    <row r="146" spans="1:44" ht="22.5" customHeight="1">
      <c r="A146" s="203" t="str">
        <f>'1'!$A$10</f>
        <v>令和４年度仙台市障害福祉分野のICT導入モデル事業補助金の内示について</v>
      </c>
      <c r="B146" s="203"/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15">
        <f t="shared" si="4"/>
        <v>10</v>
      </c>
    </row>
    <row r="147" spans="1:44" ht="18.75" customHeight="1">
      <c r="A147" s="198"/>
      <c r="B147" s="198"/>
      <c r="C147" s="198"/>
      <c r="D147" s="198"/>
      <c r="E147" s="198"/>
      <c r="F147" s="198"/>
      <c r="G147" s="198"/>
      <c r="H147" s="198"/>
      <c r="I147" s="198"/>
      <c r="J147" s="198"/>
      <c r="K147" s="198"/>
      <c r="L147" s="198"/>
      <c r="M147" s="198"/>
      <c r="N147" s="198"/>
      <c r="O147" s="198"/>
      <c r="P147" s="198"/>
      <c r="Q147" s="198"/>
      <c r="R147" s="198"/>
      <c r="S147" s="198"/>
      <c r="T147" s="198"/>
      <c r="U147" s="198"/>
      <c r="V147" s="198"/>
      <c r="W147" s="198"/>
      <c r="X147" s="198"/>
      <c r="Y147" s="198"/>
      <c r="Z147" s="198"/>
      <c r="AA147" s="198"/>
      <c r="AB147" s="198"/>
      <c r="AC147" s="198"/>
      <c r="AD147" s="198"/>
      <c r="AE147" s="198"/>
      <c r="AF147" s="198"/>
      <c r="AG147" s="198"/>
      <c r="AH147" s="198"/>
      <c r="AI147" s="198"/>
      <c r="AJ147" s="198"/>
      <c r="AK147" s="198"/>
      <c r="AL147" s="198"/>
      <c r="AM147" s="198"/>
      <c r="AN147" s="198"/>
      <c r="AO147" s="198"/>
      <c r="AP147" s="198"/>
      <c r="AQ147" s="198"/>
      <c r="AR147" s="15">
        <f t="shared" si="4"/>
        <v>11</v>
      </c>
    </row>
    <row r="148" spans="1:44" ht="93.75" customHeight="1">
      <c r="A148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48" s="205"/>
      <c r="C148" s="205"/>
      <c r="D148" s="205"/>
      <c r="E148" s="205"/>
      <c r="F148" s="205"/>
      <c r="G148" s="205"/>
      <c r="H148" s="205"/>
      <c r="I148" s="205"/>
      <c r="J148" s="205"/>
      <c r="K148" s="205"/>
      <c r="L148" s="205"/>
      <c r="M148" s="205"/>
      <c r="N148" s="205"/>
      <c r="O148" s="205"/>
      <c r="P148" s="205"/>
      <c r="Q148" s="205"/>
      <c r="R148" s="205"/>
      <c r="S148" s="205"/>
      <c r="T148" s="205"/>
      <c r="U148" s="205"/>
      <c r="V148" s="205"/>
      <c r="W148" s="205"/>
      <c r="X148" s="205"/>
      <c r="Y148" s="205"/>
      <c r="Z148" s="205"/>
      <c r="AA148" s="205"/>
      <c r="AB148" s="205"/>
      <c r="AC148" s="205"/>
      <c r="AD148" s="205"/>
      <c r="AE148" s="205"/>
      <c r="AF148" s="205"/>
      <c r="AG148" s="205"/>
      <c r="AH148" s="205"/>
      <c r="AI148" s="205"/>
      <c r="AJ148" s="205"/>
      <c r="AK148" s="205"/>
      <c r="AL148" s="205"/>
      <c r="AM148" s="205"/>
      <c r="AN148" s="205"/>
      <c r="AO148" s="205"/>
      <c r="AP148" s="205"/>
      <c r="AQ148" s="205"/>
      <c r="AR148" s="15">
        <f t="shared" si="4"/>
        <v>12</v>
      </c>
    </row>
    <row r="149" spans="1:44" ht="18.75" customHeight="1">
      <c r="A149" s="198"/>
      <c r="B149" s="198"/>
      <c r="C149" s="198"/>
      <c r="D149" s="198"/>
      <c r="E149" s="198"/>
      <c r="F149" s="198"/>
      <c r="G149" s="198"/>
      <c r="H149" s="198"/>
      <c r="I149" s="198"/>
      <c r="J149" s="198"/>
      <c r="K149" s="198"/>
      <c r="L149" s="198"/>
      <c r="M149" s="198"/>
      <c r="N149" s="198"/>
      <c r="O149" s="198"/>
      <c r="P149" s="198"/>
      <c r="Q149" s="198"/>
      <c r="R149" s="198"/>
      <c r="S149" s="198"/>
      <c r="T149" s="198"/>
      <c r="U149" s="198"/>
      <c r="V149" s="198"/>
      <c r="W149" s="198"/>
      <c r="X149" s="198"/>
      <c r="Y149" s="198"/>
      <c r="Z149" s="198"/>
      <c r="AA149" s="198"/>
      <c r="AB149" s="198"/>
      <c r="AC149" s="198"/>
      <c r="AD149" s="198"/>
      <c r="AE149" s="198"/>
      <c r="AF149" s="198"/>
      <c r="AG149" s="198"/>
      <c r="AH149" s="198"/>
      <c r="AI149" s="198"/>
      <c r="AJ149" s="198"/>
      <c r="AK149" s="198"/>
      <c r="AL149" s="198"/>
      <c r="AM149" s="198"/>
      <c r="AN149" s="198"/>
      <c r="AO149" s="198"/>
      <c r="AP149" s="198"/>
      <c r="AQ149" s="198"/>
      <c r="AR149" s="15">
        <f t="shared" si="4"/>
        <v>13</v>
      </c>
    </row>
    <row r="150" spans="1:44" ht="18.75" customHeight="1">
      <c r="A150" s="197" t="str">
        <f>'1'!$A$14</f>
        <v>記</v>
      </c>
      <c r="B150" s="197"/>
      <c r="C150" s="197"/>
      <c r="D150" s="197"/>
      <c r="E150" s="197"/>
      <c r="F150" s="197"/>
      <c r="G150" s="197"/>
      <c r="H150" s="197"/>
      <c r="I150" s="197"/>
      <c r="J150" s="197"/>
      <c r="K150" s="197"/>
      <c r="L150" s="197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  <c r="AA150" s="197"/>
      <c r="AB150" s="197"/>
      <c r="AC150" s="197"/>
      <c r="AD150" s="197"/>
      <c r="AE150" s="197"/>
      <c r="AF150" s="197"/>
      <c r="AG150" s="197"/>
      <c r="AH150" s="197"/>
      <c r="AI150" s="197"/>
      <c r="AJ150" s="197"/>
      <c r="AK150" s="197"/>
      <c r="AL150" s="197"/>
      <c r="AM150" s="197"/>
      <c r="AN150" s="197"/>
      <c r="AO150" s="197"/>
      <c r="AP150" s="197"/>
      <c r="AQ150" s="197"/>
      <c r="AR150" s="15">
        <f t="shared" si="4"/>
        <v>14</v>
      </c>
    </row>
    <row r="151" spans="1:44" ht="18.75" customHeight="1">
      <c r="A151" s="198"/>
      <c r="B151" s="198"/>
      <c r="C151" s="198"/>
      <c r="D151" s="198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  <c r="AB151" s="198"/>
      <c r="AC151" s="198"/>
      <c r="AD151" s="198"/>
      <c r="AE151" s="198"/>
      <c r="AF151" s="198"/>
      <c r="AG151" s="198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5">
        <f t="shared" si="4"/>
        <v>15</v>
      </c>
    </row>
    <row r="152" spans="1:44" ht="18.75" customHeight="1">
      <c r="I152" s="199" t="str">
        <f>'1'!$I$16</f>
        <v>補助内示額</v>
      </c>
      <c r="J152" s="199"/>
      <c r="K152" s="199"/>
      <c r="L152" s="199"/>
      <c r="M152" s="199"/>
      <c r="N152" s="199"/>
      <c r="S152" s="206">
        <f>INDEX(送付先一覧!A:O,MATCH(AV140,送付先一覧!A:A,0),12)</f>
        <v>666000</v>
      </c>
      <c r="T152" s="206"/>
      <c r="U152" s="206"/>
      <c r="V152" s="206"/>
      <c r="W152" s="206"/>
      <c r="X152" s="206"/>
      <c r="Y152" s="206"/>
      <c r="Z152" s="206"/>
      <c r="AA152" s="206"/>
      <c r="AB152" s="206"/>
      <c r="AC152" s="206"/>
      <c r="AD152" s="206"/>
      <c r="AE152" s="206"/>
      <c r="AF152" s="199"/>
      <c r="AG152" s="199"/>
      <c r="AH152" s="199"/>
      <c r="AI152" s="199"/>
      <c r="AR152" s="15">
        <f t="shared" si="4"/>
        <v>16</v>
      </c>
    </row>
    <row r="153" spans="1:44" ht="18.75" customHeight="1">
      <c r="I153" s="199" t="str">
        <f>'1'!$I$17</f>
        <v>事業種別</v>
      </c>
      <c r="J153" s="199"/>
      <c r="K153" s="199"/>
      <c r="L153" s="199"/>
      <c r="M153" s="199"/>
      <c r="N153" s="199"/>
      <c r="O153" s="199"/>
      <c r="P153" s="199"/>
      <c r="Q153" s="199"/>
      <c r="R153" s="199"/>
      <c r="S153" s="199" t="str">
        <f>INDEX(送付先一覧!A:O,MATCH(AV140,送付先一覧!A:A,0),9)</f>
        <v>児童発達支援</v>
      </c>
      <c r="T153" s="199"/>
      <c r="U153" s="199"/>
      <c r="V153" s="199"/>
      <c r="W153" s="199"/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99"/>
      <c r="AI153" s="199"/>
      <c r="AJ153" s="199"/>
      <c r="AK153" s="199"/>
      <c r="AL153" s="199"/>
      <c r="AM153" s="199"/>
      <c r="AN153" s="199"/>
      <c r="AO153" s="199"/>
      <c r="AP153" s="199"/>
      <c r="AR153" s="15">
        <f t="shared" si="4"/>
        <v>17</v>
      </c>
    </row>
    <row r="154" spans="1:44" ht="18.75" customHeight="1">
      <c r="I154" s="199" t="str">
        <f>'1'!$I$18</f>
        <v>事業所名</v>
      </c>
      <c r="J154" s="199"/>
      <c r="K154" s="199"/>
      <c r="L154" s="199"/>
      <c r="M154" s="199"/>
      <c r="N154" s="199"/>
      <c r="O154" s="199"/>
      <c r="P154" s="199"/>
      <c r="Q154" s="199"/>
      <c r="R154" s="199"/>
      <c r="S154" s="204" t="str">
        <f>INDEX(送付先一覧!A:O,MATCH(AV140,送付先一覧!A:A,0),8)</f>
        <v>リッキーガーデン　あすと長町</v>
      </c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15">
        <f t="shared" si="4"/>
        <v>18</v>
      </c>
    </row>
    <row r="155" spans="1:44" ht="18.75" customHeight="1">
      <c r="I155" s="198"/>
      <c r="J155" s="198"/>
      <c r="K155" s="198"/>
      <c r="L155" s="198"/>
      <c r="M155" s="198"/>
      <c r="N155" s="198"/>
      <c r="O155" s="198"/>
      <c r="P155" s="198"/>
      <c r="Q155" s="198"/>
      <c r="R155" s="198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15">
        <f t="shared" si="4"/>
        <v>19</v>
      </c>
    </row>
    <row r="156" spans="1:44" ht="18.75" customHeight="1"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  <c r="S156" s="198"/>
      <c r="T156" s="198"/>
      <c r="U156" s="198"/>
      <c r="V156" s="198"/>
      <c r="W156" s="198"/>
      <c r="X156" s="198"/>
      <c r="Y156" s="198"/>
      <c r="Z156" s="198"/>
      <c r="AA156" s="198"/>
      <c r="AB156" s="198"/>
      <c r="AC156" s="198"/>
      <c r="AD156" s="198"/>
      <c r="AE156" s="198"/>
      <c r="AF156" s="198"/>
      <c r="AG156" s="198"/>
      <c r="AH156" s="198"/>
      <c r="AI156" s="198"/>
      <c r="AR156" s="15">
        <f t="shared" si="4"/>
        <v>20</v>
      </c>
    </row>
    <row r="157" spans="1:44" ht="18.75" customHeight="1">
      <c r="A157" s="198"/>
      <c r="B157" s="198"/>
      <c r="C157" s="198"/>
      <c r="D157" s="198"/>
      <c r="E157" s="198"/>
      <c r="F157" s="198"/>
      <c r="G157" s="198"/>
      <c r="H157" s="198"/>
      <c r="I157" s="198"/>
      <c r="J157" s="198"/>
      <c r="K157" s="198"/>
      <c r="L157" s="198"/>
      <c r="M157" s="198"/>
      <c r="N157" s="198"/>
      <c r="O157" s="198"/>
      <c r="P157" s="198"/>
      <c r="Q157" s="198"/>
      <c r="R157" s="198"/>
      <c r="S157" s="198"/>
      <c r="T157" s="198"/>
      <c r="U157" s="198"/>
      <c r="V157" s="198"/>
      <c r="W157" s="198"/>
      <c r="X157" s="198"/>
      <c r="Y157" s="198"/>
      <c r="Z157" s="198"/>
      <c r="AA157" s="198"/>
      <c r="AB157" s="198"/>
      <c r="AC157" s="198"/>
      <c r="AD157" s="198"/>
      <c r="AE157" s="198"/>
      <c r="AF157" s="198"/>
      <c r="AG157" s="198"/>
      <c r="AH157" s="198"/>
      <c r="AI157" s="198"/>
      <c r="AJ157" s="198"/>
      <c r="AK157" s="198"/>
      <c r="AL157" s="198"/>
      <c r="AM157" s="198"/>
      <c r="AN157" s="198"/>
      <c r="AO157" s="198"/>
      <c r="AP157" s="198"/>
      <c r="AQ157" s="198"/>
      <c r="AR157" s="15">
        <f t="shared" si="4"/>
        <v>21</v>
      </c>
    </row>
    <row r="158" spans="1:44" ht="18.75" customHeight="1">
      <c r="A158" s="198"/>
      <c r="B158" s="198"/>
      <c r="C158" s="198"/>
      <c r="D158" s="198"/>
      <c r="E158" s="198"/>
      <c r="F158" s="198"/>
      <c r="G158" s="198"/>
      <c r="H158" s="198"/>
      <c r="I158" s="198"/>
      <c r="J158" s="198"/>
      <c r="K158" s="198"/>
      <c r="L158" s="198"/>
      <c r="M158" s="198"/>
      <c r="N158" s="198"/>
      <c r="O158" s="198"/>
      <c r="P158" s="198"/>
      <c r="Q158" s="198"/>
      <c r="R158" s="198"/>
      <c r="S158" s="198"/>
      <c r="T158" s="198"/>
      <c r="U158" s="198"/>
      <c r="V158" s="198"/>
      <c r="W158" s="198"/>
      <c r="X158" s="198"/>
      <c r="Y158" s="198"/>
      <c r="Z158" s="198"/>
      <c r="AA158" s="198"/>
      <c r="AB158" s="198"/>
      <c r="AC158" s="198"/>
      <c r="AD158" s="198"/>
      <c r="AE158" s="198"/>
      <c r="AF158" s="198"/>
      <c r="AG158" s="198"/>
      <c r="AH158" s="198"/>
      <c r="AI158" s="198"/>
      <c r="AJ158" s="198"/>
      <c r="AK158" s="198"/>
      <c r="AL158" s="198"/>
      <c r="AM158" s="198"/>
      <c r="AN158" s="198"/>
      <c r="AO158" s="198"/>
      <c r="AP158" s="198"/>
      <c r="AQ158" s="198"/>
      <c r="AR158" s="15">
        <f t="shared" si="4"/>
        <v>22</v>
      </c>
    </row>
    <row r="159" spans="1:44" ht="18.75" customHeight="1">
      <c r="A159" s="198"/>
      <c r="B159" s="198"/>
      <c r="C159" s="198"/>
      <c r="D159" s="198"/>
      <c r="E159" s="198"/>
      <c r="F159" s="198"/>
      <c r="G159" s="198"/>
      <c r="H159" s="198"/>
      <c r="I159" s="198"/>
      <c r="J159" s="198"/>
      <c r="K159" s="198"/>
      <c r="L159" s="198"/>
      <c r="M159" s="198"/>
      <c r="N159" s="198"/>
      <c r="O159" s="198"/>
      <c r="P159" s="198"/>
      <c r="Q159" s="198"/>
      <c r="R159" s="198"/>
      <c r="S159" s="198"/>
      <c r="T159" s="198"/>
      <c r="U159" s="198"/>
      <c r="V159" s="198"/>
      <c r="W159" s="198"/>
      <c r="X159" s="198"/>
      <c r="Y159" s="198"/>
      <c r="Z159" s="198"/>
      <c r="AA159" s="198"/>
      <c r="AB159" s="198"/>
      <c r="AC159" s="198"/>
      <c r="AD159" s="198"/>
      <c r="AE159" s="198"/>
      <c r="AF159" s="198"/>
      <c r="AG159" s="198"/>
      <c r="AH159" s="198"/>
      <c r="AI159" s="198"/>
      <c r="AJ159" s="198"/>
      <c r="AK159" s="198"/>
      <c r="AL159" s="198"/>
      <c r="AM159" s="198"/>
      <c r="AN159" s="198"/>
      <c r="AO159" s="198"/>
      <c r="AP159" s="198"/>
      <c r="AQ159" s="198"/>
      <c r="AR159" s="15">
        <f t="shared" si="4"/>
        <v>23</v>
      </c>
    </row>
    <row r="160" spans="1:44" ht="18.75" customHeight="1">
      <c r="A160" s="198"/>
      <c r="B160" s="198"/>
      <c r="C160" s="198"/>
      <c r="D160" s="198"/>
      <c r="E160" s="198"/>
      <c r="F160" s="198"/>
      <c r="G160" s="198"/>
      <c r="H160" s="198"/>
      <c r="I160" s="198"/>
      <c r="J160" s="198"/>
      <c r="K160" s="198"/>
      <c r="L160" s="198"/>
      <c r="M160" s="198"/>
      <c r="N160" s="198"/>
      <c r="O160" s="198"/>
      <c r="P160" s="198"/>
      <c r="Q160" s="198"/>
      <c r="R160" s="198"/>
      <c r="S160" s="198"/>
      <c r="T160" s="198"/>
      <c r="U160" s="198"/>
      <c r="V160" s="198"/>
      <c r="W160" s="198"/>
      <c r="X160" s="198"/>
      <c r="Y160" s="198"/>
      <c r="Z160" s="198"/>
      <c r="AA160" s="198"/>
      <c r="AB160" s="198"/>
      <c r="AC160" s="198"/>
      <c r="AD160" s="198"/>
      <c r="AE160" s="198"/>
      <c r="AF160" s="198"/>
      <c r="AG160" s="198"/>
      <c r="AH160" s="198"/>
      <c r="AI160" s="198"/>
      <c r="AJ160" s="198"/>
      <c r="AK160" s="198"/>
      <c r="AL160" s="198"/>
      <c r="AM160" s="198"/>
      <c r="AN160" s="198"/>
      <c r="AO160" s="198"/>
      <c r="AP160" s="198"/>
      <c r="AQ160" s="198"/>
      <c r="AR160" s="15">
        <f t="shared" si="4"/>
        <v>24</v>
      </c>
    </row>
    <row r="161" spans="1:48" ht="18.75" customHeight="1">
      <c r="A161" s="198"/>
      <c r="B161" s="198"/>
      <c r="C161" s="198"/>
      <c r="D161" s="198"/>
      <c r="E161" s="198"/>
      <c r="F161" s="198"/>
      <c r="G161" s="198"/>
      <c r="H161" s="198"/>
      <c r="I161" s="198"/>
      <c r="J161" s="198"/>
      <c r="K161" s="198"/>
      <c r="L161" s="198"/>
      <c r="M161" s="198"/>
      <c r="N161" s="198"/>
      <c r="O161" s="198"/>
      <c r="P161" s="198"/>
      <c r="Q161" s="198"/>
      <c r="R161" s="198"/>
      <c r="S161" s="198"/>
      <c r="T161" s="198"/>
      <c r="U161" s="198"/>
      <c r="V161" s="198"/>
      <c r="W161" s="198"/>
      <c r="X161" s="198"/>
      <c r="Y161" s="198"/>
      <c r="Z161" s="198"/>
      <c r="AA161" s="198"/>
      <c r="AB161" s="198"/>
      <c r="AC161" s="198"/>
      <c r="AD161" s="198"/>
      <c r="AE161" s="198"/>
      <c r="AF161" s="198"/>
      <c r="AG161" s="198"/>
      <c r="AH161" s="198"/>
      <c r="AI161" s="198"/>
      <c r="AJ161" s="198"/>
      <c r="AK161" s="198"/>
      <c r="AL161" s="198"/>
      <c r="AM161" s="198"/>
      <c r="AN161" s="198"/>
      <c r="AO161" s="198"/>
      <c r="AP161" s="198"/>
      <c r="AQ161" s="198"/>
      <c r="AR161" s="15">
        <f t="shared" si="4"/>
        <v>25</v>
      </c>
    </row>
    <row r="162" spans="1:48" ht="18.75" customHeight="1">
      <c r="A162" s="198"/>
      <c r="B162" s="198"/>
      <c r="C162" s="198"/>
      <c r="D162" s="198"/>
      <c r="E162" s="198"/>
      <c r="F162" s="198"/>
      <c r="G162" s="198"/>
      <c r="H162" s="198"/>
      <c r="I162" s="198"/>
      <c r="J162" s="198"/>
      <c r="K162" s="198"/>
      <c r="L162" s="198"/>
      <c r="M162" s="198"/>
      <c r="N162" s="198"/>
      <c r="O162" s="198"/>
      <c r="P162" s="198"/>
      <c r="Q162" s="198"/>
      <c r="R162" s="198"/>
      <c r="S162" s="198"/>
      <c r="T162" s="198"/>
      <c r="U162" s="198"/>
      <c r="V162" s="198"/>
      <c r="W162" s="198"/>
      <c r="X162" s="198"/>
      <c r="Y162" s="198"/>
      <c r="Z162" s="198"/>
      <c r="AA162" s="198"/>
      <c r="AB162" s="198"/>
      <c r="AC162" s="198"/>
      <c r="AD162" s="198"/>
      <c r="AE162" s="198"/>
      <c r="AF162" s="198"/>
      <c r="AG162" s="198"/>
      <c r="AH162" s="198"/>
      <c r="AI162" s="198"/>
      <c r="AJ162" s="198"/>
      <c r="AK162" s="198"/>
      <c r="AL162" s="198"/>
      <c r="AM162" s="198"/>
      <c r="AN162" s="198"/>
      <c r="AO162" s="198"/>
      <c r="AP162" s="198"/>
      <c r="AQ162" s="198"/>
      <c r="AR162" s="15">
        <f t="shared" si="4"/>
        <v>26</v>
      </c>
    </row>
    <row r="163" spans="1:48" ht="18.75" customHeight="1">
      <c r="A163" s="198"/>
      <c r="B163" s="198"/>
      <c r="C163" s="198"/>
      <c r="D163" s="198"/>
      <c r="E163" s="198"/>
      <c r="F163" s="198"/>
      <c r="G163" s="198"/>
      <c r="H163" s="198"/>
      <c r="I163" s="198"/>
      <c r="J163" s="198"/>
      <c r="K163" s="198"/>
      <c r="L163" s="198"/>
      <c r="M163" s="198"/>
      <c r="N163" s="198"/>
      <c r="O163" s="198"/>
      <c r="P163" s="198"/>
      <c r="Q163" s="198"/>
      <c r="R163" s="198"/>
      <c r="S163" s="198"/>
      <c r="T163" s="198"/>
      <c r="U163" s="198"/>
      <c r="V163" s="198"/>
      <c r="W163" s="198"/>
      <c r="X163" s="198"/>
      <c r="Y163" s="198"/>
      <c r="Z163" s="198"/>
      <c r="AA163" s="198"/>
      <c r="AB163" s="198"/>
      <c r="AC163" s="198"/>
      <c r="AD163" s="198"/>
      <c r="AE163" s="198"/>
      <c r="AF163" s="198"/>
      <c r="AG163" s="198"/>
      <c r="AH163" s="198"/>
      <c r="AI163" s="198"/>
      <c r="AJ163" s="198"/>
      <c r="AK163" s="198"/>
      <c r="AL163" s="198"/>
      <c r="AM163" s="198"/>
      <c r="AN163" s="198"/>
      <c r="AO163" s="198"/>
      <c r="AP163" s="198"/>
      <c r="AQ163" s="198"/>
      <c r="AR163" s="15">
        <f t="shared" si="4"/>
        <v>27</v>
      </c>
    </row>
    <row r="164" spans="1:48" ht="18.75" customHeight="1">
      <c r="A164" s="198"/>
      <c r="B164" s="198"/>
      <c r="C164" s="198"/>
      <c r="D164" s="198"/>
      <c r="E164" s="198"/>
      <c r="F164" s="198"/>
      <c r="G164" s="198"/>
      <c r="H164" s="198"/>
      <c r="I164" s="198"/>
      <c r="J164" s="198"/>
      <c r="K164" s="198"/>
      <c r="L164" s="198"/>
      <c r="M164" s="198"/>
      <c r="N164" s="198"/>
      <c r="O164" s="198"/>
      <c r="P164" s="198"/>
      <c r="Q164" s="198"/>
      <c r="R164" s="198"/>
      <c r="S164" s="198"/>
      <c r="T164" s="198"/>
      <c r="U164" s="198"/>
      <c r="V164" s="198"/>
      <c r="W164" s="198"/>
      <c r="X164" s="198"/>
      <c r="Y164" s="198"/>
      <c r="Z164" s="198"/>
      <c r="AA164" s="198"/>
      <c r="AB164" s="198"/>
      <c r="AC164" s="198"/>
      <c r="AD164" s="198"/>
      <c r="AE164" s="198"/>
      <c r="AF164" s="198"/>
      <c r="AG164" s="198"/>
      <c r="AH164" s="198"/>
      <c r="AI164" s="198"/>
      <c r="AJ164" s="198"/>
      <c r="AK164" s="198"/>
      <c r="AL164" s="198"/>
      <c r="AM164" s="198"/>
      <c r="AN164" s="198"/>
      <c r="AO164" s="198"/>
      <c r="AP164" s="198"/>
      <c r="AQ164" s="198"/>
      <c r="AR164" s="15">
        <f t="shared" si="4"/>
        <v>28</v>
      </c>
    </row>
    <row r="165" spans="1:48" ht="18.75" customHeight="1">
      <c r="A165" s="198"/>
      <c r="B165" s="198"/>
      <c r="C165" s="198"/>
      <c r="D165" s="198"/>
      <c r="E165" s="198"/>
      <c r="F165" s="198"/>
      <c r="G165" s="198"/>
      <c r="H165" s="198"/>
      <c r="I165" s="198"/>
      <c r="J165" s="198"/>
      <c r="K165" s="198"/>
      <c r="L165" s="198"/>
      <c r="M165" s="198"/>
      <c r="N165" s="198"/>
      <c r="O165" s="198"/>
      <c r="P165" s="198"/>
      <c r="Q165" s="198"/>
      <c r="R165" s="198"/>
      <c r="S165" s="198"/>
      <c r="T165" s="198"/>
      <c r="U165" s="198"/>
      <c r="V165" s="198"/>
      <c r="W165" s="198"/>
      <c r="X165" s="198"/>
      <c r="Y165" s="198"/>
      <c r="Z165" s="198"/>
      <c r="AA165" s="198"/>
      <c r="AB165" s="198"/>
      <c r="AC165" s="198"/>
      <c r="AD165" s="198"/>
      <c r="AE165" s="198"/>
      <c r="AF165" s="198"/>
      <c r="AG165" s="198"/>
      <c r="AH165" s="198"/>
      <c r="AI165" s="198"/>
      <c r="AJ165" s="198"/>
      <c r="AK165" s="198"/>
      <c r="AL165" s="198"/>
      <c r="AM165" s="198"/>
      <c r="AN165" s="198"/>
      <c r="AO165" s="198"/>
      <c r="AP165" s="198"/>
      <c r="AQ165" s="198"/>
      <c r="AR165" s="15">
        <f t="shared" si="4"/>
        <v>29</v>
      </c>
    </row>
    <row r="166" spans="1:48" ht="18.75" customHeight="1">
      <c r="A166" s="198"/>
      <c r="B166" s="198"/>
      <c r="C166" s="198"/>
      <c r="D166" s="198"/>
      <c r="E166" s="198"/>
      <c r="F166" s="198"/>
      <c r="G166" s="198"/>
      <c r="H166" s="198"/>
      <c r="I166" s="198"/>
      <c r="J166" s="198"/>
      <c r="K166" s="198"/>
      <c r="L166" s="198"/>
      <c r="M166" s="198"/>
      <c r="N166" s="198"/>
      <c r="O166" s="198"/>
      <c r="P166" s="198"/>
      <c r="Q166" s="198"/>
      <c r="R166" s="198"/>
      <c r="S166" s="198"/>
      <c r="T166" s="198"/>
      <c r="U166" s="198"/>
      <c r="V166" s="198"/>
      <c r="W166" s="198"/>
      <c r="X166" s="198"/>
      <c r="Y166" s="198"/>
      <c r="Z166" s="198"/>
      <c r="AA166" s="198"/>
      <c r="AB166" s="198"/>
      <c r="AC166" s="198"/>
      <c r="AD166" s="198"/>
      <c r="AE166" s="198"/>
      <c r="AF166" s="198"/>
      <c r="AG166" s="198"/>
      <c r="AH166" s="198"/>
      <c r="AI166" s="198"/>
      <c r="AJ166" s="198"/>
      <c r="AK166" s="198"/>
      <c r="AL166" s="198"/>
      <c r="AM166" s="198"/>
      <c r="AN166" s="198"/>
      <c r="AO166" s="198"/>
      <c r="AP166" s="198"/>
      <c r="AQ166" s="198"/>
      <c r="AR166" s="15">
        <f t="shared" si="4"/>
        <v>30</v>
      </c>
    </row>
    <row r="167" spans="1:48" ht="18.75" customHeight="1">
      <c r="A167" s="198"/>
      <c r="B167" s="198"/>
      <c r="C167" s="198"/>
      <c r="D167" s="198"/>
      <c r="E167" s="198"/>
      <c r="F167" s="198"/>
      <c r="G167" s="198"/>
      <c r="H167" s="198"/>
      <c r="I167" s="198"/>
      <c r="J167" s="198"/>
      <c r="K167" s="198"/>
      <c r="L167" s="198"/>
      <c r="M167" s="198"/>
      <c r="N167" s="198"/>
      <c r="O167" s="198"/>
      <c r="P167" s="198"/>
      <c r="Q167" s="198"/>
      <c r="R167" s="198"/>
      <c r="S167" s="198"/>
      <c r="T167" s="198"/>
      <c r="U167" s="198"/>
      <c r="V167" s="198"/>
      <c r="W167" s="198"/>
      <c r="X167" s="198"/>
      <c r="Y167" s="198"/>
      <c r="Z167" s="198"/>
      <c r="AA167" s="198"/>
      <c r="AB167" s="198"/>
      <c r="AC167" s="198"/>
      <c r="AD167" s="198"/>
      <c r="AE167" s="198"/>
      <c r="AF167" s="198"/>
      <c r="AG167" s="198"/>
      <c r="AH167" s="198"/>
      <c r="AI167" s="198"/>
      <c r="AJ167" s="198"/>
      <c r="AK167" s="198"/>
      <c r="AL167" s="198"/>
      <c r="AM167" s="198"/>
      <c r="AN167" s="198"/>
      <c r="AO167" s="198"/>
      <c r="AP167" s="198"/>
      <c r="AQ167" s="198"/>
      <c r="AR167" s="15">
        <f t="shared" si="4"/>
        <v>31</v>
      </c>
    </row>
    <row r="168" spans="1:48" ht="18.75" customHeight="1">
      <c r="A168" s="198"/>
      <c r="B168" s="198"/>
      <c r="C168" s="198"/>
      <c r="D168" s="198"/>
      <c r="E168" s="198"/>
      <c r="F168" s="198"/>
      <c r="G168" s="198"/>
      <c r="H168" s="198"/>
      <c r="I168" s="198"/>
      <c r="J168" s="198"/>
      <c r="K168" s="198"/>
      <c r="L168" s="198"/>
      <c r="M168" s="198"/>
      <c r="N168" s="198"/>
      <c r="O168" s="198"/>
      <c r="P168" s="198"/>
      <c r="Q168" s="198"/>
      <c r="R168" s="198"/>
      <c r="S168" s="198"/>
      <c r="T168" s="198"/>
      <c r="U168" s="198"/>
      <c r="V168" s="198"/>
      <c r="W168" s="198"/>
      <c r="X168" s="198"/>
      <c r="Y168" s="198"/>
      <c r="Z168" s="198"/>
      <c r="AA168" s="198"/>
      <c r="AB168" s="198"/>
      <c r="AC168" s="198"/>
      <c r="AD168" s="198"/>
      <c r="AE168" s="198"/>
      <c r="AF168" s="198"/>
      <c r="AG168" s="198"/>
      <c r="AH168" s="198"/>
      <c r="AI168" s="198"/>
      <c r="AJ168" s="198"/>
      <c r="AK168" s="198"/>
      <c r="AL168" s="198"/>
      <c r="AM168" s="198"/>
      <c r="AN168" s="198"/>
      <c r="AO168" s="198"/>
      <c r="AP168" s="198"/>
      <c r="AQ168" s="198"/>
      <c r="AR168" s="15">
        <f t="shared" si="4"/>
        <v>32</v>
      </c>
    </row>
    <row r="169" spans="1:48" ht="18.75" customHeight="1">
      <c r="A169" s="198"/>
      <c r="B169" s="198"/>
      <c r="C169" s="198"/>
      <c r="D169" s="198"/>
      <c r="E169" s="198"/>
      <c r="F169" s="198"/>
      <c r="G169" s="198"/>
      <c r="H169" s="198"/>
      <c r="I169" s="198"/>
      <c r="J169" s="198"/>
      <c r="K169" s="198"/>
      <c r="L169" s="198"/>
      <c r="M169" s="198"/>
      <c r="N169" s="198"/>
      <c r="O169" s="198"/>
      <c r="P169" s="198"/>
      <c r="Q169" s="198"/>
      <c r="R169" s="198"/>
      <c r="S169" s="198"/>
      <c r="T169" s="198"/>
      <c r="U169" s="198"/>
      <c r="V169" s="198"/>
      <c r="W169" s="198"/>
      <c r="X169" s="198"/>
      <c r="Y169" s="198"/>
      <c r="Z169" s="198"/>
      <c r="AA169" s="198"/>
      <c r="AB169" s="198"/>
      <c r="AC169" s="198"/>
      <c r="AD169" s="198"/>
      <c r="AE169" s="198"/>
      <c r="AF169" s="198"/>
      <c r="AG169" s="198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15">
        <f t="shared" si="4"/>
        <v>33</v>
      </c>
    </row>
    <row r="170" spans="1:48" ht="18.75" customHeight="1">
      <c r="A170" s="198"/>
      <c r="B170" s="198"/>
      <c r="C170" s="198"/>
      <c r="D170" s="198"/>
      <c r="E170" s="198"/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  <c r="P170" s="198"/>
      <c r="Q170" s="198"/>
      <c r="R170" s="198"/>
      <c r="S170" s="198"/>
      <c r="T170" s="198"/>
      <c r="U170" s="198"/>
      <c r="V170" s="198"/>
      <c r="W170" s="198"/>
      <c r="X170" s="198"/>
      <c r="Y170" s="198"/>
      <c r="Z170" s="198"/>
      <c r="AA170" s="198"/>
      <c r="AB170" s="198"/>
      <c r="AC170" s="198"/>
      <c r="AD170" s="198"/>
      <c r="AE170" s="198"/>
      <c r="AF170" s="198"/>
      <c r="AG170" s="198"/>
      <c r="AH170" s="198"/>
      <c r="AI170" s="198"/>
      <c r="AJ170" s="198"/>
      <c r="AK170" s="198"/>
      <c r="AL170" s="198"/>
      <c r="AM170" s="198"/>
      <c r="AN170" s="198"/>
      <c r="AO170" s="198"/>
      <c r="AP170" s="198"/>
      <c r="AQ170" s="198"/>
      <c r="AR170" s="15">
        <f t="shared" si="4"/>
        <v>34</v>
      </c>
    </row>
    <row r="171" spans="1:48" ht="16.5" customHeight="1">
      <c r="A171" s="197"/>
      <c r="B171" s="197"/>
      <c r="AI171" s="200" t="str">
        <f>'1'!$AI$1</f>
        <v>R4健障障第100号</v>
      </c>
      <c r="AJ171" s="200"/>
      <c r="AK171" s="200"/>
      <c r="AL171" s="200"/>
      <c r="AM171" s="200"/>
      <c r="AN171" s="200"/>
      <c r="AO171" s="200"/>
      <c r="AP171" s="200"/>
      <c r="AQ171" s="200"/>
      <c r="AR171" s="15">
        <v>1</v>
      </c>
    </row>
    <row r="172" spans="1:48" ht="16.5" customHeight="1">
      <c r="A172" s="197"/>
      <c r="B172" s="197"/>
      <c r="AI172" s="201">
        <f>'1'!$AI$2</f>
        <v>44677</v>
      </c>
      <c r="AJ172" s="201"/>
      <c r="AK172" s="201"/>
      <c r="AL172" s="201"/>
      <c r="AM172" s="201"/>
      <c r="AN172" s="201"/>
      <c r="AO172" s="201"/>
      <c r="AP172" s="201"/>
      <c r="AQ172" s="201"/>
      <c r="AR172" s="15">
        <f>AR171+1</f>
        <v>2</v>
      </c>
    </row>
    <row r="173" spans="1:48" ht="18.75" customHeight="1">
      <c r="A173" s="198"/>
      <c r="B173" s="198"/>
      <c r="C173" s="198"/>
      <c r="D173" s="198"/>
      <c r="E173" s="198"/>
      <c r="F173" s="198"/>
      <c r="G173" s="198"/>
      <c r="H173" s="198"/>
      <c r="I173" s="198"/>
      <c r="J173" s="198"/>
      <c r="K173" s="198"/>
      <c r="L173" s="198"/>
      <c r="M173" s="198"/>
      <c r="N173" s="198"/>
      <c r="O173" s="198"/>
      <c r="P173" s="198"/>
      <c r="Q173" s="198"/>
      <c r="R173" s="198"/>
      <c r="S173" s="198"/>
      <c r="T173" s="198"/>
      <c r="U173" s="198"/>
      <c r="V173" s="198"/>
      <c r="W173" s="198"/>
      <c r="X173" s="198"/>
      <c r="Y173" s="198"/>
      <c r="Z173" s="198"/>
      <c r="AA173" s="198"/>
      <c r="AB173" s="198"/>
      <c r="AC173" s="198"/>
      <c r="AD173" s="198"/>
      <c r="AE173" s="198"/>
      <c r="AF173" s="198"/>
      <c r="AG173" s="198"/>
      <c r="AH173" s="198"/>
      <c r="AI173" s="198"/>
      <c r="AJ173" s="198"/>
      <c r="AK173" s="198"/>
      <c r="AL173" s="198"/>
      <c r="AM173" s="198"/>
      <c r="AN173" s="198"/>
      <c r="AO173" s="198"/>
      <c r="AP173" s="198"/>
      <c r="AQ173" s="198"/>
      <c r="AR173" s="15">
        <f t="shared" ref="AR173:AR204" si="5">AR172+1</f>
        <v>3</v>
      </c>
    </row>
    <row r="174" spans="1:48" ht="18.75" customHeight="1">
      <c r="A174" s="199" t="str">
        <f>INDEX(送付先一覧!A:O,MATCH(AV174,送付先一覧!A:A,0),4)</f>
        <v>株式会社ミツイ</v>
      </c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  <c r="W174" s="199"/>
      <c r="X174" s="199"/>
      <c r="Y174" s="199"/>
      <c r="Z174" s="199"/>
      <c r="AA174" s="199"/>
      <c r="AB174" s="199"/>
      <c r="AC174" s="199"/>
      <c r="AD174" s="199"/>
      <c r="AE174" s="199"/>
      <c r="AF174" s="199"/>
      <c r="AG174" s="199"/>
      <c r="AH174" s="199"/>
      <c r="AI174" s="199"/>
      <c r="AJ174" s="199"/>
      <c r="AK174" s="199"/>
      <c r="AL174" s="199"/>
      <c r="AM174" s="199"/>
      <c r="AN174" s="199"/>
      <c r="AO174" s="199"/>
      <c r="AP174" s="199"/>
      <c r="AQ174" s="199"/>
      <c r="AR174" s="15">
        <f t="shared" si="5"/>
        <v>4</v>
      </c>
      <c r="AV174" s="65">
        <f>AV140+1</f>
        <v>12</v>
      </c>
    </row>
    <row r="175" spans="1:48" ht="18.75" customHeight="1">
      <c r="A175" s="202" t="str">
        <f>INDEX(送付先一覧!A:O,MATCH(AV174,送付先一覧!A:A,0),5)</f>
        <v>代表取締役社長　金沢　和樹</v>
      </c>
      <c r="B175" s="202"/>
      <c r="C175" s="202"/>
      <c r="D175" s="202"/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15">
        <f t="shared" si="5"/>
        <v>5</v>
      </c>
    </row>
    <row r="176" spans="1:48" ht="18.75" customHeight="1">
      <c r="A176" s="198"/>
      <c r="B176" s="198"/>
      <c r="C176" s="198"/>
      <c r="D176" s="198"/>
      <c r="E176" s="198"/>
      <c r="F176" s="198"/>
      <c r="G176" s="198"/>
      <c r="H176" s="198"/>
      <c r="I176" s="198"/>
      <c r="J176" s="198"/>
      <c r="K176" s="198"/>
      <c r="L176" s="198"/>
      <c r="M176" s="198"/>
      <c r="N176" s="198"/>
      <c r="O176" s="198"/>
      <c r="P176" s="198"/>
      <c r="Q176" s="198"/>
      <c r="R176" s="198"/>
      <c r="S176" s="198"/>
      <c r="T176" s="198"/>
      <c r="U176" s="198"/>
      <c r="V176" s="198"/>
      <c r="W176" s="198"/>
      <c r="X176" s="198"/>
      <c r="Y176" s="198"/>
      <c r="Z176" s="198"/>
      <c r="AA176" s="198"/>
      <c r="AB176" s="198"/>
      <c r="AC176" s="198"/>
      <c r="AD176" s="198"/>
      <c r="AE176" s="198"/>
      <c r="AF176" s="198"/>
      <c r="AG176" s="198"/>
      <c r="AH176" s="198"/>
      <c r="AI176" s="198"/>
      <c r="AJ176" s="198"/>
      <c r="AK176" s="198"/>
      <c r="AL176" s="198"/>
      <c r="AM176" s="198"/>
      <c r="AN176" s="198"/>
      <c r="AO176" s="198"/>
      <c r="AP176" s="198"/>
      <c r="AQ176" s="198"/>
      <c r="AR176" s="15">
        <f t="shared" si="5"/>
        <v>6</v>
      </c>
    </row>
    <row r="177" spans="1:44" ht="18.75" customHeight="1">
      <c r="V177" s="199" t="str">
        <f>'1'!$V$7</f>
        <v>仙台市健康福祉局障害福祉部障害企画課長　　</v>
      </c>
      <c r="W177" s="199"/>
      <c r="X177" s="199"/>
      <c r="Y177" s="199"/>
      <c r="Z177" s="199"/>
      <c r="AA177" s="199"/>
      <c r="AB177" s="199"/>
      <c r="AC177" s="199"/>
      <c r="AD177" s="199"/>
      <c r="AE177" s="199"/>
      <c r="AF177" s="199"/>
      <c r="AG177" s="199"/>
      <c r="AH177" s="199"/>
      <c r="AI177" s="199"/>
      <c r="AJ177" s="199"/>
      <c r="AK177" s="199"/>
      <c r="AL177" s="199"/>
      <c r="AM177" s="199"/>
      <c r="AN177" s="199"/>
      <c r="AO177" s="199"/>
      <c r="AP177" s="199"/>
      <c r="AQ177" s="199"/>
      <c r="AR177" s="15">
        <f t="shared" si="5"/>
        <v>7</v>
      </c>
    </row>
    <row r="178" spans="1:44" ht="18.75" customHeight="1">
      <c r="V178" s="199" t="str">
        <f>'1'!$V$8</f>
        <v>仙台市健康福祉局障害福祉部障害者支援課長　</v>
      </c>
      <c r="W178" s="199"/>
      <c r="X178" s="199"/>
      <c r="Y178" s="199"/>
      <c r="Z178" s="199"/>
      <c r="AA178" s="199"/>
      <c r="AB178" s="199"/>
      <c r="AC178" s="199"/>
      <c r="AD178" s="199"/>
      <c r="AE178" s="199"/>
      <c r="AF178" s="199"/>
      <c r="AG178" s="199"/>
      <c r="AH178" s="199"/>
      <c r="AI178" s="199"/>
      <c r="AJ178" s="199"/>
      <c r="AK178" s="199"/>
      <c r="AL178" s="199"/>
      <c r="AM178" s="199"/>
      <c r="AN178" s="199"/>
      <c r="AO178" s="199"/>
      <c r="AP178" s="199"/>
      <c r="AQ178" s="199"/>
      <c r="AR178" s="15">
        <f t="shared" si="5"/>
        <v>8</v>
      </c>
    </row>
    <row r="179" spans="1:44" ht="18.75" customHeight="1">
      <c r="A179" s="198"/>
      <c r="B179" s="198"/>
      <c r="C179" s="198"/>
      <c r="D179" s="198"/>
      <c r="E179" s="198"/>
      <c r="F179" s="198"/>
      <c r="G179" s="198"/>
      <c r="H179" s="198"/>
      <c r="I179" s="198"/>
      <c r="J179" s="198"/>
      <c r="K179" s="198"/>
      <c r="L179" s="198"/>
      <c r="M179" s="198"/>
      <c r="N179" s="198"/>
      <c r="O179" s="198"/>
      <c r="P179" s="198"/>
      <c r="Q179" s="198"/>
      <c r="R179" s="198"/>
      <c r="S179" s="198"/>
      <c r="T179" s="198"/>
      <c r="U179" s="198"/>
      <c r="V179" s="198"/>
      <c r="W179" s="198"/>
      <c r="X179" s="198"/>
      <c r="Y179" s="198"/>
      <c r="Z179" s="198"/>
      <c r="AA179" s="198"/>
      <c r="AB179" s="198"/>
      <c r="AC179" s="198"/>
      <c r="AD179" s="198"/>
      <c r="AE179" s="198"/>
      <c r="AF179" s="198"/>
      <c r="AG179" s="198"/>
      <c r="AH179" s="198"/>
      <c r="AI179" s="198"/>
      <c r="AJ179" s="198"/>
      <c r="AK179" s="198"/>
      <c r="AL179" s="198"/>
      <c r="AM179" s="198"/>
      <c r="AN179" s="198"/>
      <c r="AO179" s="198"/>
      <c r="AP179" s="198"/>
      <c r="AQ179" s="198"/>
      <c r="AR179" s="15">
        <f t="shared" si="5"/>
        <v>9</v>
      </c>
    </row>
    <row r="180" spans="1:44" ht="22.5" customHeight="1">
      <c r="A180" s="203" t="str">
        <f>'1'!$A$10</f>
        <v>令和４年度仙台市障害福祉分野のICT導入モデル事業補助金の内示について</v>
      </c>
      <c r="B180" s="203"/>
      <c r="C180" s="203"/>
      <c r="D180" s="203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15">
        <f t="shared" si="5"/>
        <v>10</v>
      </c>
    </row>
    <row r="181" spans="1:44" ht="18.75" customHeight="1">
      <c r="A181" s="198"/>
      <c r="B181" s="198"/>
      <c r="C181" s="198"/>
      <c r="D181" s="198"/>
      <c r="E181" s="198"/>
      <c r="F181" s="198"/>
      <c r="G181" s="198"/>
      <c r="H181" s="198"/>
      <c r="I181" s="198"/>
      <c r="J181" s="198"/>
      <c r="K181" s="198"/>
      <c r="L181" s="198"/>
      <c r="M181" s="198"/>
      <c r="N181" s="198"/>
      <c r="O181" s="198"/>
      <c r="P181" s="198"/>
      <c r="Q181" s="198"/>
      <c r="R181" s="198"/>
      <c r="S181" s="198"/>
      <c r="T181" s="198"/>
      <c r="U181" s="198"/>
      <c r="V181" s="198"/>
      <c r="W181" s="198"/>
      <c r="X181" s="198"/>
      <c r="Y181" s="198"/>
      <c r="Z181" s="198"/>
      <c r="AA181" s="198"/>
      <c r="AB181" s="198"/>
      <c r="AC181" s="198"/>
      <c r="AD181" s="198"/>
      <c r="AE181" s="198"/>
      <c r="AF181" s="198"/>
      <c r="AG181" s="198"/>
      <c r="AH181" s="198"/>
      <c r="AI181" s="198"/>
      <c r="AJ181" s="198"/>
      <c r="AK181" s="198"/>
      <c r="AL181" s="198"/>
      <c r="AM181" s="198"/>
      <c r="AN181" s="198"/>
      <c r="AO181" s="198"/>
      <c r="AP181" s="198"/>
      <c r="AQ181" s="198"/>
      <c r="AR181" s="15">
        <f t="shared" si="5"/>
        <v>11</v>
      </c>
    </row>
    <row r="182" spans="1:44" ht="93.75" customHeight="1">
      <c r="A182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82" s="205"/>
      <c r="C182" s="205"/>
      <c r="D182" s="205"/>
      <c r="E182" s="205"/>
      <c r="F182" s="205"/>
      <c r="G182" s="205"/>
      <c r="H182" s="205"/>
      <c r="I182" s="205"/>
      <c r="J182" s="205"/>
      <c r="K182" s="205"/>
      <c r="L182" s="205"/>
      <c r="M182" s="205"/>
      <c r="N182" s="205"/>
      <c r="O182" s="205"/>
      <c r="P182" s="205"/>
      <c r="Q182" s="205"/>
      <c r="R182" s="205"/>
      <c r="S182" s="205"/>
      <c r="T182" s="205"/>
      <c r="U182" s="205"/>
      <c r="V182" s="205"/>
      <c r="W182" s="205"/>
      <c r="X182" s="205"/>
      <c r="Y182" s="205"/>
      <c r="Z182" s="205"/>
      <c r="AA182" s="205"/>
      <c r="AB182" s="205"/>
      <c r="AC182" s="205"/>
      <c r="AD182" s="205"/>
      <c r="AE182" s="205"/>
      <c r="AF182" s="205"/>
      <c r="AG182" s="205"/>
      <c r="AH182" s="205"/>
      <c r="AI182" s="205"/>
      <c r="AJ182" s="205"/>
      <c r="AK182" s="205"/>
      <c r="AL182" s="205"/>
      <c r="AM182" s="205"/>
      <c r="AN182" s="205"/>
      <c r="AO182" s="205"/>
      <c r="AP182" s="205"/>
      <c r="AQ182" s="205"/>
      <c r="AR182" s="15">
        <f t="shared" si="5"/>
        <v>12</v>
      </c>
    </row>
    <row r="183" spans="1:44" ht="18.75" customHeight="1">
      <c r="A183" s="198"/>
      <c r="B183" s="198"/>
      <c r="C183" s="198"/>
      <c r="D183" s="198"/>
      <c r="E183" s="198"/>
      <c r="F183" s="198"/>
      <c r="G183" s="198"/>
      <c r="H183" s="198"/>
      <c r="I183" s="198"/>
      <c r="J183" s="198"/>
      <c r="K183" s="198"/>
      <c r="L183" s="198"/>
      <c r="M183" s="198"/>
      <c r="N183" s="198"/>
      <c r="O183" s="198"/>
      <c r="P183" s="198"/>
      <c r="Q183" s="198"/>
      <c r="R183" s="198"/>
      <c r="S183" s="198"/>
      <c r="T183" s="198"/>
      <c r="U183" s="198"/>
      <c r="V183" s="198"/>
      <c r="W183" s="198"/>
      <c r="X183" s="198"/>
      <c r="Y183" s="198"/>
      <c r="Z183" s="198"/>
      <c r="AA183" s="198"/>
      <c r="AB183" s="198"/>
      <c r="AC183" s="198"/>
      <c r="AD183" s="198"/>
      <c r="AE183" s="198"/>
      <c r="AF183" s="198"/>
      <c r="AG183" s="198"/>
      <c r="AH183" s="198"/>
      <c r="AI183" s="198"/>
      <c r="AJ183" s="198"/>
      <c r="AK183" s="198"/>
      <c r="AL183" s="198"/>
      <c r="AM183" s="198"/>
      <c r="AN183" s="198"/>
      <c r="AO183" s="198"/>
      <c r="AP183" s="198"/>
      <c r="AQ183" s="198"/>
      <c r="AR183" s="15">
        <f t="shared" si="5"/>
        <v>13</v>
      </c>
    </row>
    <row r="184" spans="1:44" ht="18.75" customHeight="1">
      <c r="A184" s="197" t="str">
        <f>'1'!$A$14</f>
        <v>記</v>
      </c>
      <c r="B184" s="197"/>
      <c r="C184" s="197"/>
      <c r="D184" s="197"/>
      <c r="E184" s="197"/>
      <c r="F184" s="197"/>
      <c r="G184" s="197"/>
      <c r="H184" s="197"/>
      <c r="I184" s="197"/>
      <c r="J184" s="197"/>
      <c r="K184" s="197"/>
      <c r="L184" s="197"/>
      <c r="M184" s="197"/>
      <c r="N184" s="197"/>
      <c r="O184" s="197"/>
      <c r="P184" s="197"/>
      <c r="Q184" s="197"/>
      <c r="R184" s="197"/>
      <c r="S184" s="197"/>
      <c r="T184" s="197"/>
      <c r="U184" s="197"/>
      <c r="V184" s="197"/>
      <c r="W184" s="197"/>
      <c r="X184" s="197"/>
      <c r="Y184" s="197"/>
      <c r="Z184" s="197"/>
      <c r="AA184" s="197"/>
      <c r="AB184" s="197"/>
      <c r="AC184" s="197"/>
      <c r="AD184" s="197"/>
      <c r="AE184" s="197"/>
      <c r="AF184" s="197"/>
      <c r="AG184" s="197"/>
      <c r="AH184" s="197"/>
      <c r="AI184" s="197"/>
      <c r="AJ184" s="197"/>
      <c r="AK184" s="197"/>
      <c r="AL184" s="197"/>
      <c r="AM184" s="197"/>
      <c r="AN184" s="197"/>
      <c r="AO184" s="197"/>
      <c r="AP184" s="197"/>
      <c r="AQ184" s="197"/>
      <c r="AR184" s="15">
        <f t="shared" si="5"/>
        <v>14</v>
      </c>
    </row>
    <row r="185" spans="1:44" ht="18.75" customHeight="1">
      <c r="A185" s="198"/>
      <c r="B185" s="198"/>
      <c r="C185" s="198"/>
      <c r="D185" s="198"/>
      <c r="E185" s="198"/>
      <c r="F185" s="198"/>
      <c r="G185" s="198"/>
      <c r="H185" s="198"/>
      <c r="I185" s="198"/>
      <c r="J185" s="198"/>
      <c r="K185" s="198"/>
      <c r="L185" s="198"/>
      <c r="M185" s="198"/>
      <c r="N185" s="198"/>
      <c r="O185" s="198"/>
      <c r="P185" s="198"/>
      <c r="Q185" s="198"/>
      <c r="R185" s="198"/>
      <c r="S185" s="198"/>
      <c r="T185" s="198"/>
      <c r="U185" s="198"/>
      <c r="V185" s="198"/>
      <c r="W185" s="198"/>
      <c r="X185" s="198"/>
      <c r="Y185" s="198"/>
      <c r="Z185" s="198"/>
      <c r="AA185" s="198"/>
      <c r="AB185" s="198"/>
      <c r="AC185" s="198"/>
      <c r="AD185" s="198"/>
      <c r="AE185" s="198"/>
      <c r="AF185" s="198"/>
      <c r="AG185" s="198"/>
      <c r="AH185" s="198"/>
      <c r="AI185" s="198"/>
      <c r="AJ185" s="198"/>
      <c r="AK185" s="198"/>
      <c r="AL185" s="198"/>
      <c r="AM185" s="198"/>
      <c r="AN185" s="198"/>
      <c r="AO185" s="198"/>
      <c r="AP185" s="198"/>
      <c r="AQ185" s="198"/>
      <c r="AR185" s="15">
        <f t="shared" si="5"/>
        <v>15</v>
      </c>
    </row>
    <row r="186" spans="1:44" ht="18.75" customHeight="1">
      <c r="I186" s="199" t="str">
        <f>'1'!$I$16</f>
        <v>補助内示額</v>
      </c>
      <c r="J186" s="199"/>
      <c r="K186" s="199"/>
      <c r="L186" s="199"/>
      <c r="M186" s="199"/>
      <c r="N186" s="199"/>
      <c r="S186" s="206">
        <f>INDEX(送付先一覧!A:O,MATCH(AV174,送付先一覧!A:A,0),12)</f>
        <v>666000</v>
      </c>
      <c r="T186" s="206"/>
      <c r="U186" s="206"/>
      <c r="V186" s="206"/>
      <c r="W186" s="206"/>
      <c r="X186" s="206"/>
      <c r="Y186" s="206"/>
      <c r="Z186" s="206"/>
      <c r="AA186" s="206"/>
      <c r="AB186" s="206"/>
      <c r="AC186" s="206"/>
      <c r="AD186" s="206"/>
      <c r="AE186" s="206"/>
      <c r="AF186" s="199"/>
      <c r="AG186" s="199"/>
      <c r="AH186" s="199"/>
      <c r="AI186" s="199"/>
      <c r="AR186" s="15">
        <f t="shared" si="5"/>
        <v>16</v>
      </c>
    </row>
    <row r="187" spans="1:44" ht="18.75" customHeight="1">
      <c r="I187" s="199" t="str">
        <f>'1'!$I$17</f>
        <v>事業種別</v>
      </c>
      <c r="J187" s="199"/>
      <c r="K187" s="199"/>
      <c r="L187" s="199"/>
      <c r="M187" s="199"/>
      <c r="N187" s="199"/>
      <c r="O187" s="199"/>
      <c r="P187" s="199"/>
      <c r="Q187" s="199"/>
      <c r="R187" s="199"/>
      <c r="S187" s="199" t="str">
        <f>INDEX(送付先一覧!A:O,MATCH(AV174,送付先一覧!A:A,0),9)</f>
        <v>放課後等デイサービス</v>
      </c>
      <c r="T187" s="199"/>
      <c r="U187" s="199"/>
      <c r="V187" s="199"/>
      <c r="W187" s="199"/>
      <c r="X187" s="199"/>
      <c r="Y187" s="199"/>
      <c r="Z187" s="199"/>
      <c r="AA187" s="199"/>
      <c r="AB187" s="199"/>
      <c r="AC187" s="199"/>
      <c r="AD187" s="199"/>
      <c r="AE187" s="199"/>
      <c r="AF187" s="199"/>
      <c r="AG187" s="199"/>
      <c r="AH187" s="199"/>
      <c r="AI187" s="199"/>
      <c r="AJ187" s="199"/>
      <c r="AK187" s="199"/>
      <c r="AL187" s="199"/>
      <c r="AM187" s="199"/>
      <c r="AN187" s="199"/>
      <c r="AO187" s="199"/>
      <c r="AP187" s="199"/>
      <c r="AR187" s="15">
        <f t="shared" si="5"/>
        <v>17</v>
      </c>
    </row>
    <row r="188" spans="1:44" ht="18.75" customHeight="1">
      <c r="I188" s="199" t="str">
        <f>'1'!$I$18</f>
        <v>事業所名</v>
      </c>
      <c r="J188" s="199"/>
      <c r="K188" s="199"/>
      <c r="L188" s="199"/>
      <c r="M188" s="199"/>
      <c r="N188" s="199"/>
      <c r="O188" s="199"/>
      <c r="P188" s="199"/>
      <c r="Q188" s="199"/>
      <c r="R188" s="199"/>
      <c r="S188" s="204" t="str">
        <f>INDEX(送付先一覧!A:O,MATCH(AV174,送付先一覧!A:A,0),8)</f>
        <v>リッキー西多賀</v>
      </c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15">
        <f t="shared" si="5"/>
        <v>18</v>
      </c>
    </row>
    <row r="189" spans="1:44" ht="18.75" customHeight="1">
      <c r="I189" s="198"/>
      <c r="J189" s="198"/>
      <c r="K189" s="198"/>
      <c r="L189" s="198"/>
      <c r="M189" s="198"/>
      <c r="N189" s="198"/>
      <c r="O189" s="198"/>
      <c r="P189" s="198"/>
      <c r="Q189" s="198"/>
      <c r="R189" s="198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  <c r="AI189" s="66"/>
      <c r="AJ189" s="66"/>
      <c r="AK189" s="66"/>
      <c r="AL189" s="66"/>
      <c r="AM189" s="66"/>
      <c r="AN189" s="66"/>
      <c r="AO189" s="66"/>
      <c r="AP189" s="66"/>
      <c r="AQ189" s="66"/>
      <c r="AR189" s="15">
        <f t="shared" si="5"/>
        <v>19</v>
      </c>
    </row>
    <row r="190" spans="1:44" ht="18.75" customHeight="1">
      <c r="I190" s="198"/>
      <c r="J190" s="198"/>
      <c r="K190" s="198"/>
      <c r="L190" s="198"/>
      <c r="M190" s="198"/>
      <c r="N190" s="198"/>
      <c r="O190" s="198"/>
      <c r="P190" s="198"/>
      <c r="Q190" s="198"/>
      <c r="R190" s="198"/>
      <c r="S190" s="198"/>
      <c r="T190" s="198"/>
      <c r="U190" s="198"/>
      <c r="V190" s="198"/>
      <c r="W190" s="198"/>
      <c r="X190" s="198"/>
      <c r="Y190" s="198"/>
      <c r="Z190" s="198"/>
      <c r="AA190" s="198"/>
      <c r="AB190" s="198"/>
      <c r="AC190" s="198"/>
      <c r="AD190" s="198"/>
      <c r="AE190" s="198"/>
      <c r="AF190" s="198"/>
      <c r="AG190" s="198"/>
      <c r="AH190" s="198"/>
      <c r="AI190" s="198"/>
      <c r="AR190" s="15">
        <f t="shared" si="5"/>
        <v>20</v>
      </c>
    </row>
    <row r="191" spans="1:44" ht="18.75" customHeight="1">
      <c r="A191" s="198"/>
      <c r="B191" s="198"/>
      <c r="C191" s="198"/>
      <c r="D191" s="198"/>
      <c r="E191" s="198"/>
      <c r="F191" s="198"/>
      <c r="G191" s="198"/>
      <c r="H191" s="198"/>
      <c r="I191" s="198"/>
      <c r="J191" s="198"/>
      <c r="K191" s="198"/>
      <c r="L191" s="198"/>
      <c r="M191" s="198"/>
      <c r="N191" s="198"/>
      <c r="O191" s="198"/>
      <c r="P191" s="198"/>
      <c r="Q191" s="198"/>
      <c r="R191" s="198"/>
      <c r="S191" s="198"/>
      <c r="T191" s="198"/>
      <c r="U191" s="198"/>
      <c r="V191" s="198"/>
      <c r="W191" s="198"/>
      <c r="X191" s="198"/>
      <c r="Y191" s="198"/>
      <c r="Z191" s="198"/>
      <c r="AA191" s="198"/>
      <c r="AB191" s="198"/>
      <c r="AC191" s="198"/>
      <c r="AD191" s="198"/>
      <c r="AE191" s="198"/>
      <c r="AF191" s="198"/>
      <c r="AG191" s="198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5">
        <f t="shared" si="5"/>
        <v>21</v>
      </c>
    </row>
    <row r="192" spans="1:44" ht="18.75" customHeight="1">
      <c r="A192" s="198"/>
      <c r="B192" s="198"/>
      <c r="C192" s="198"/>
      <c r="D192" s="198"/>
      <c r="E192" s="198"/>
      <c r="F192" s="198"/>
      <c r="G192" s="198"/>
      <c r="H192" s="198"/>
      <c r="I192" s="198"/>
      <c r="J192" s="198"/>
      <c r="K192" s="198"/>
      <c r="L192" s="198"/>
      <c r="M192" s="198"/>
      <c r="N192" s="198"/>
      <c r="O192" s="198"/>
      <c r="P192" s="198"/>
      <c r="Q192" s="198"/>
      <c r="R192" s="198"/>
      <c r="S192" s="198"/>
      <c r="T192" s="198"/>
      <c r="U192" s="198"/>
      <c r="V192" s="198"/>
      <c r="W192" s="198"/>
      <c r="X192" s="198"/>
      <c r="Y192" s="198"/>
      <c r="Z192" s="198"/>
      <c r="AA192" s="198"/>
      <c r="AB192" s="198"/>
      <c r="AC192" s="198"/>
      <c r="AD192" s="198"/>
      <c r="AE192" s="198"/>
      <c r="AF192" s="198"/>
      <c r="AG192" s="198"/>
      <c r="AH192" s="198"/>
      <c r="AI192" s="198"/>
      <c r="AJ192" s="198"/>
      <c r="AK192" s="198"/>
      <c r="AL192" s="198"/>
      <c r="AM192" s="198"/>
      <c r="AN192" s="198"/>
      <c r="AO192" s="198"/>
      <c r="AP192" s="198"/>
      <c r="AQ192" s="198"/>
      <c r="AR192" s="15">
        <f t="shared" si="5"/>
        <v>22</v>
      </c>
    </row>
    <row r="193" spans="1:48" ht="18.75" customHeight="1">
      <c r="A193" s="198"/>
      <c r="B193" s="198"/>
      <c r="C193" s="198"/>
      <c r="D193" s="198"/>
      <c r="E193" s="198"/>
      <c r="F193" s="198"/>
      <c r="G193" s="198"/>
      <c r="H193" s="198"/>
      <c r="I193" s="198"/>
      <c r="J193" s="198"/>
      <c r="K193" s="198"/>
      <c r="L193" s="198"/>
      <c r="M193" s="198"/>
      <c r="N193" s="198"/>
      <c r="O193" s="198"/>
      <c r="P193" s="198"/>
      <c r="Q193" s="198"/>
      <c r="R193" s="198"/>
      <c r="S193" s="198"/>
      <c r="T193" s="198"/>
      <c r="U193" s="198"/>
      <c r="V193" s="198"/>
      <c r="W193" s="198"/>
      <c r="X193" s="198"/>
      <c r="Y193" s="198"/>
      <c r="Z193" s="198"/>
      <c r="AA193" s="198"/>
      <c r="AB193" s="198"/>
      <c r="AC193" s="198"/>
      <c r="AD193" s="198"/>
      <c r="AE193" s="198"/>
      <c r="AF193" s="198"/>
      <c r="AG193" s="198"/>
      <c r="AH193" s="198"/>
      <c r="AI193" s="198"/>
      <c r="AJ193" s="198"/>
      <c r="AK193" s="198"/>
      <c r="AL193" s="198"/>
      <c r="AM193" s="198"/>
      <c r="AN193" s="198"/>
      <c r="AO193" s="198"/>
      <c r="AP193" s="198"/>
      <c r="AQ193" s="198"/>
      <c r="AR193" s="15">
        <f t="shared" si="5"/>
        <v>23</v>
      </c>
    </row>
    <row r="194" spans="1:48" ht="18.75" customHeight="1">
      <c r="A194" s="198"/>
      <c r="B194" s="198"/>
      <c r="C194" s="198"/>
      <c r="D194" s="198"/>
      <c r="E194" s="198"/>
      <c r="F194" s="198"/>
      <c r="G194" s="198"/>
      <c r="H194" s="198"/>
      <c r="I194" s="198"/>
      <c r="J194" s="198"/>
      <c r="K194" s="198"/>
      <c r="L194" s="198"/>
      <c r="M194" s="198"/>
      <c r="N194" s="198"/>
      <c r="O194" s="198"/>
      <c r="P194" s="198"/>
      <c r="Q194" s="198"/>
      <c r="R194" s="198"/>
      <c r="S194" s="198"/>
      <c r="T194" s="198"/>
      <c r="U194" s="198"/>
      <c r="V194" s="198"/>
      <c r="W194" s="198"/>
      <c r="X194" s="198"/>
      <c r="Y194" s="198"/>
      <c r="Z194" s="198"/>
      <c r="AA194" s="198"/>
      <c r="AB194" s="198"/>
      <c r="AC194" s="198"/>
      <c r="AD194" s="198"/>
      <c r="AE194" s="198"/>
      <c r="AF194" s="198"/>
      <c r="AG194" s="198"/>
      <c r="AH194" s="198"/>
      <c r="AI194" s="198"/>
      <c r="AJ194" s="198"/>
      <c r="AK194" s="198"/>
      <c r="AL194" s="198"/>
      <c r="AM194" s="198"/>
      <c r="AN194" s="198"/>
      <c r="AO194" s="198"/>
      <c r="AP194" s="198"/>
      <c r="AQ194" s="198"/>
      <c r="AR194" s="15">
        <f t="shared" si="5"/>
        <v>24</v>
      </c>
    </row>
    <row r="195" spans="1:48" ht="18.75" customHeight="1">
      <c r="A195" s="198"/>
      <c r="B195" s="198"/>
      <c r="C195" s="198"/>
      <c r="D195" s="198"/>
      <c r="E195" s="198"/>
      <c r="F195" s="198"/>
      <c r="G195" s="198"/>
      <c r="H195" s="198"/>
      <c r="I195" s="198"/>
      <c r="J195" s="198"/>
      <c r="K195" s="198"/>
      <c r="L195" s="198"/>
      <c r="M195" s="198"/>
      <c r="N195" s="198"/>
      <c r="O195" s="198"/>
      <c r="P195" s="198"/>
      <c r="Q195" s="198"/>
      <c r="R195" s="198"/>
      <c r="S195" s="198"/>
      <c r="T195" s="198"/>
      <c r="U195" s="198"/>
      <c r="V195" s="198"/>
      <c r="W195" s="198"/>
      <c r="X195" s="198"/>
      <c r="Y195" s="198"/>
      <c r="Z195" s="198"/>
      <c r="AA195" s="198"/>
      <c r="AB195" s="198"/>
      <c r="AC195" s="198"/>
      <c r="AD195" s="198"/>
      <c r="AE195" s="198"/>
      <c r="AF195" s="198"/>
      <c r="AG195" s="198"/>
      <c r="AH195" s="198"/>
      <c r="AI195" s="198"/>
      <c r="AJ195" s="198"/>
      <c r="AK195" s="198"/>
      <c r="AL195" s="198"/>
      <c r="AM195" s="198"/>
      <c r="AN195" s="198"/>
      <c r="AO195" s="198"/>
      <c r="AP195" s="198"/>
      <c r="AQ195" s="198"/>
      <c r="AR195" s="15">
        <f t="shared" si="5"/>
        <v>25</v>
      </c>
    </row>
    <row r="196" spans="1:48" ht="18.75" customHeight="1">
      <c r="A196" s="198"/>
      <c r="B196" s="198"/>
      <c r="C196" s="198"/>
      <c r="D196" s="198"/>
      <c r="E196" s="198"/>
      <c r="F196" s="198"/>
      <c r="G196" s="198"/>
      <c r="H196" s="198"/>
      <c r="I196" s="198"/>
      <c r="J196" s="198"/>
      <c r="K196" s="198"/>
      <c r="L196" s="198"/>
      <c r="M196" s="198"/>
      <c r="N196" s="198"/>
      <c r="O196" s="198"/>
      <c r="P196" s="198"/>
      <c r="Q196" s="198"/>
      <c r="R196" s="198"/>
      <c r="S196" s="198"/>
      <c r="T196" s="198"/>
      <c r="U196" s="198"/>
      <c r="V196" s="198"/>
      <c r="W196" s="198"/>
      <c r="X196" s="198"/>
      <c r="Y196" s="198"/>
      <c r="Z196" s="198"/>
      <c r="AA196" s="198"/>
      <c r="AB196" s="198"/>
      <c r="AC196" s="198"/>
      <c r="AD196" s="198"/>
      <c r="AE196" s="198"/>
      <c r="AF196" s="198"/>
      <c r="AG196" s="198"/>
      <c r="AH196" s="198"/>
      <c r="AI196" s="198"/>
      <c r="AJ196" s="198"/>
      <c r="AK196" s="198"/>
      <c r="AL196" s="198"/>
      <c r="AM196" s="198"/>
      <c r="AN196" s="198"/>
      <c r="AO196" s="198"/>
      <c r="AP196" s="198"/>
      <c r="AQ196" s="198"/>
      <c r="AR196" s="15">
        <f t="shared" si="5"/>
        <v>26</v>
      </c>
    </row>
    <row r="197" spans="1:48" ht="18.75" customHeight="1">
      <c r="A197" s="198"/>
      <c r="B197" s="198"/>
      <c r="C197" s="198"/>
      <c r="D197" s="198"/>
      <c r="E197" s="198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  <c r="P197" s="198"/>
      <c r="Q197" s="198"/>
      <c r="R197" s="198"/>
      <c r="S197" s="198"/>
      <c r="T197" s="198"/>
      <c r="U197" s="198"/>
      <c r="V197" s="198"/>
      <c r="W197" s="198"/>
      <c r="X197" s="198"/>
      <c r="Y197" s="198"/>
      <c r="Z197" s="198"/>
      <c r="AA197" s="198"/>
      <c r="AB197" s="198"/>
      <c r="AC197" s="198"/>
      <c r="AD197" s="198"/>
      <c r="AE197" s="198"/>
      <c r="AF197" s="198"/>
      <c r="AG197" s="198"/>
      <c r="AH197" s="198"/>
      <c r="AI197" s="198"/>
      <c r="AJ197" s="198"/>
      <c r="AK197" s="198"/>
      <c r="AL197" s="198"/>
      <c r="AM197" s="198"/>
      <c r="AN197" s="198"/>
      <c r="AO197" s="198"/>
      <c r="AP197" s="198"/>
      <c r="AQ197" s="198"/>
      <c r="AR197" s="15">
        <f t="shared" si="5"/>
        <v>27</v>
      </c>
    </row>
    <row r="198" spans="1:48" ht="18.75" customHeight="1">
      <c r="A198" s="198"/>
      <c r="B198" s="198"/>
      <c r="C198" s="198"/>
      <c r="D198" s="198"/>
      <c r="E198" s="198"/>
      <c r="F198" s="198"/>
      <c r="G198" s="198"/>
      <c r="H198" s="198"/>
      <c r="I198" s="198"/>
      <c r="J198" s="198"/>
      <c r="K198" s="198"/>
      <c r="L198" s="198"/>
      <c r="M198" s="198"/>
      <c r="N198" s="198"/>
      <c r="O198" s="198"/>
      <c r="P198" s="198"/>
      <c r="Q198" s="198"/>
      <c r="R198" s="198"/>
      <c r="S198" s="198"/>
      <c r="T198" s="198"/>
      <c r="U198" s="198"/>
      <c r="V198" s="198"/>
      <c r="W198" s="198"/>
      <c r="X198" s="198"/>
      <c r="Y198" s="198"/>
      <c r="Z198" s="198"/>
      <c r="AA198" s="198"/>
      <c r="AB198" s="198"/>
      <c r="AC198" s="198"/>
      <c r="AD198" s="198"/>
      <c r="AE198" s="198"/>
      <c r="AF198" s="198"/>
      <c r="AG198" s="198"/>
      <c r="AH198" s="198"/>
      <c r="AI198" s="198"/>
      <c r="AJ198" s="198"/>
      <c r="AK198" s="198"/>
      <c r="AL198" s="198"/>
      <c r="AM198" s="198"/>
      <c r="AN198" s="198"/>
      <c r="AO198" s="198"/>
      <c r="AP198" s="198"/>
      <c r="AQ198" s="198"/>
      <c r="AR198" s="15">
        <f t="shared" si="5"/>
        <v>28</v>
      </c>
    </row>
    <row r="199" spans="1:48" ht="18.75" customHeight="1">
      <c r="A199" s="198"/>
      <c r="B199" s="198"/>
      <c r="C199" s="198"/>
      <c r="D199" s="198"/>
      <c r="E199" s="198"/>
      <c r="F199" s="198"/>
      <c r="G199" s="198"/>
      <c r="H199" s="198"/>
      <c r="I199" s="198"/>
      <c r="J199" s="198"/>
      <c r="K199" s="198"/>
      <c r="L199" s="198"/>
      <c r="M199" s="198"/>
      <c r="N199" s="198"/>
      <c r="O199" s="198"/>
      <c r="P199" s="198"/>
      <c r="Q199" s="198"/>
      <c r="R199" s="198"/>
      <c r="S199" s="198"/>
      <c r="T199" s="198"/>
      <c r="U199" s="198"/>
      <c r="V199" s="198"/>
      <c r="W199" s="198"/>
      <c r="X199" s="198"/>
      <c r="Y199" s="198"/>
      <c r="Z199" s="198"/>
      <c r="AA199" s="198"/>
      <c r="AB199" s="198"/>
      <c r="AC199" s="198"/>
      <c r="AD199" s="198"/>
      <c r="AE199" s="198"/>
      <c r="AF199" s="198"/>
      <c r="AG199" s="198"/>
      <c r="AH199" s="198"/>
      <c r="AI199" s="198"/>
      <c r="AJ199" s="198"/>
      <c r="AK199" s="198"/>
      <c r="AL199" s="198"/>
      <c r="AM199" s="198"/>
      <c r="AN199" s="198"/>
      <c r="AO199" s="198"/>
      <c r="AP199" s="198"/>
      <c r="AQ199" s="198"/>
      <c r="AR199" s="15">
        <f t="shared" si="5"/>
        <v>29</v>
      </c>
    </row>
    <row r="200" spans="1:48" ht="18.75" customHeight="1">
      <c r="A200" s="198"/>
      <c r="B200" s="198"/>
      <c r="C200" s="198"/>
      <c r="D200" s="198"/>
      <c r="E200" s="198"/>
      <c r="F200" s="198"/>
      <c r="G200" s="198"/>
      <c r="H200" s="198"/>
      <c r="I200" s="198"/>
      <c r="J200" s="198"/>
      <c r="K200" s="198"/>
      <c r="L200" s="198"/>
      <c r="M200" s="198"/>
      <c r="N200" s="198"/>
      <c r="O200" s="198"/>
      <c r="P200" s="198"/>
      <c r="Q200" s="198"/>
      <c r="R200" s="198"/>
      <c r="S200" s="198"/>
      <c r="T200" s="198"/>
      <c r="U200" s="198"/>
      <c r="V200" s="198"/>
      <c r="W200" s="198"/>
      <c r="X200" s="198"/>
      <c r="Y200" s="198"/>
      <c r="Z200" s="198"/>
      <c r="AA200" s="198"/>
      <c r="AB200" s="198"/>
      <c r="AC200" s="198"/>
      <c r="AD200" s="198"/>
      <c r="AE200" s="198"/>
      <c r="AF200" s="198"/>
      <c r="AG200" s="198"/>
      <c r="AH200" s="198"/>
      <c r="AI200" s="198"/>
      <c r="AJ200" s="198"/>
      <c r="AK200" s="198"/>
      <c r="AL200" s="198"/>
      <c r="AM200" s="198"/>
      <c r="AN200" s="198"/>
      <c r="AO200" s="198"/>
      <c r="AP200" s="198"/>
      <c r="AQ200" s="198"/>
      <c r="AR200" s="15">
        <f t="shared" si="5"/>
        <v>30</v>
      </c>
    </row>
    <row r="201" spans="1:48" ht="18.75" customHeight="1">
      <c r="A201" s="198"/>
      <c r="B201" s="198"/>
      <c r="C201" s="198"/>
      <c r="D201" s="198"/>
      <c r="E201" s="198"/>
      <c r="F201" s="198"/>
      <c r="G201" s="198"/>
      <c r="H201" s="198"/>
      <c r="I201" s="198"/>
      <c r="J201" s="198"/>
      <c r="K201" s="198"/>
      <c r="L201" s="198"/>
      <c r="M201" s="198"/>
      <c r="N201" s="198"/>
      <c r="O201" s="198"/>
      <c r="P201" s="198"/>
      <c r="Q201" s="198"/>
      <c r="R201" s="198"/>
      <c r="S201" s="198"/>
      <c r="T201" s="198"/>
      <c r="U201" s="198"/>
      <c r="V201" s="198"/>
      <c r="W201" s="198"/>
      <c r="X201" s="198"/>
      <c r="Y201" s="198"/>
      <c r="Z201" s="198"/>
      <c r="AA201" s="198"/>
      <c r="AB201" s="198"/>
      <c r="AC201" s="198"/>
      <c r="AD201" s="198"/>
      <c r="AE201" s="198"/>
      <c r="AF201" s="198"/>
      <c r="AG201" s="198"/>
      <c r="AH201" s="198"/>
      <c r="AI201" s="198"/>
      <c r="AJ201" s="198"/>
      <c r="AK201" s="198"/>
      <c r="AL201" s="198"/>
      <c r="AM201" s="198"/>
      <c r="AN201" s="198"/>
      <c r="AO201" s="198"/>
      <c r="AP201" s="198"/>
      <c r="AQ201" s="198"/>
      <c r="AR201" s="15">
        <f t="shared" si="5"/>
        <v>31</v>
      </c>
    </row>
    <row r="202" spans="1:48" ht="18.75" customHeight="1">
      <c r="A202" s="198"/>
      <c r="B202" s="198"/>
      <c r="C202" s="198"/>
      <c r="D202" s="198"/>
      <c r="E202" s="198"/>
      <c r="F202" s="198"/>
      <c r="G202" s="198"/>
      <c r="H202" s="198"/>
      <c r="I202" s="198"/>
      <c r="J202" s="198"/>
      <c r="K202" s="198"/>
      <c r="L202" s="198"/>
      <c r="M202" s="198"/>
      <c r="N202" s="198"/>
      <c r="O202" s="198"/>
      <c r="P202" s="198"/>
      <c r="Q202" s="198"/>
      <c r="R202" s="198"/>
      <c r="S202" s="198"/>
      <c r="T202" s="198"/>
      <c r="U202" s="198"/>
      <c r="V202" s="198"/>
      <c r="W202" s="198"/>
      <c r="X202" s="198"/>
      <c r="Y202" s="198"/>
      <c r="Z202" s="198"/>
      <c r="AA202" s="198"/>
      <c r="AB202" s="198"/>
      <c r="AC202" s="198"/>
      <c r="AD202" s="198"/>
      <c r="AE202" s="198"/>
      <c r="AF202" s="198"/>
      <c r="AG202" s="198"/>
      <c r="AH202" s="198"/>
      <c r="AI202" s="198"/>
      <c r="AJ202" s="198"/>
      <c r="AK202" s="198"/>
      <c r="AL202" s="198"/>
      <c r="AM202" s="198"/>
      <c r="AN202" s="198"/>
      <c r="AO202" s="198"/>
      <c r="AP202" s="198"/>
      <c r="AQ202" s="198"/>
      <c r="AR202" s="15">
        <f t="shared" si="5"/>
        <v>32</v>
      </c>
    </row>
    <row r="203" spans="1:48" ht="18.75" customHeight="1">
      <c r="A203" s="198"/>
      <c r="B203" s="198"/>
      <c r="C203" s="198"/>
      <c r="D203" s="198"/>
      <c r="E203" s="198"/>
      <c r="F203" s="198"/>
      <c r="G203" s="198"/>
      <c r="H203" s="198"/>
      <c r="I203" s="198"/>
      <c r="J203" s="198"/>
      <c r="K203" s="198"/>
      <c r="L203" s="198"/>
      <c r="M203" s="198"/>
      <c r="N203" s="198"/>
      <c r="O203" s="198"/>
      <c r="P203" s="198"/>
      <c r="Q203" s="198"/>
      <c r="R203" s="198"/>
      <c r="S203" s="198"/>
      <c r="T203" s="198"/>
      <c r="U203" s="198"/>
      <c r="V203" s="198"/>
      <c r="W203" s="198"/>
      <c r="X203" s="198"/>
      <c r="Y203" s="198"/>
      <c r="Z203" s="198"/>
      <c r="AA203" s="198"/>
      <c r="AB203" s="198"/>
      <c r="AC203" s="198"/>
      <c r="AD203" s="198"/>
      <c r="AE203" s="198"/>
      <c r="AF203" s="198"/>
      <c r="AG203" s="198"/>
      <c r="AH203" s="198"/>
      <c r="AI203" s="198"/>
      <c r="AJ203" s="198"/>
      <c r="AK203" s="198"/>
      <c r="AL203" s="198"/>
      <c r="AM203" s="198"/>
      <c r="AN203" s="198"/>
      <c r="AO203" s="198"/>
      <c r="AP203" s="198"/>
      <c r="AQ203" s="198"/>
      <c r="AR203" s="15">
        <f t="shared" si="5"/>
        <v>33</v>
      </c>
    </row>
    <row r="204" spans="1:48" ht="18.75" customHeight="1">
      <c r="A204" s="198"/>
      <c r="B204" s="198"/>
      <c r="C204" s="198"/>
      <c r="D204" s="198"/>
      <c r="E204" s="198"/>
      <c r="F204" s="198"/>
      <c r="G204" s="198"/>
      <c r="H204" s="198"/>
      <c r="I204" s="198"/>
      <c r="J204" s="198"/>
      <c r="K204" s="198"/>
      <c r="L204" s="198"/>
      <c r="M204" s="198"/>
      <c r="N204" s="198"/>
      <c r="O204" s="198"/>
      <c r="P204" s="198"/>
      <c r="Q204" s="198"/>
      <c r="R204" s="198"/>
      <c r="S204" s="198"/>
      <c r="T204" s="198"/>
      <c r="U204" s="198"/>
      <c r="V204" s="198"/>
      <c r="W204" s="198"/>
      <c r="X204" s="198"/>
      <c r="Y204" s="198"/>
      <c r="Z204" s="198"/>
      <c r="AA204" s="198"/>
      <c r="AB204" s="198"/>
      <c r="AC204" s="198"/>
      <c r="AD204" s="198"/>
      <c r="AE204" s="198"/>
      <c r="AF204" s="198"/>
      <c r="AG204" s="198"/>
      <c r="AH204" s="198"/>
      <c r="AI204" s="198"/>
      <c r="AJ204" s="198"/>
      <c r="AK204" s="198"/>
      <c r="AL204" s="198"/>
      <c r="AM204" s="198"/>
      <c r="AN204" s="198"/>
      <c r="AO204" s="198"/>
      <c r="AP204" s="198"/>
      <c r="AQ204" s="198"/>
      <c r="AR204" s="15">
        <f t="shared" si="5"/>
        <v>34</v>
      </c>
    </row>
    <row r="205" spans="1:48" ht="16.5" customHeight="1">
      <c r="A205" s="197"/>
      <c r="B205" s="197"/>
      <c r="AI205" s="200" t="str">
        <f>'1'!$AI$1</f>
        <v>R4健障障第100号</v>
      </c>
      <c r="AJ205" s="200"/>
      <c r="AK205" s="200"/>
      <c r="AL205" s="200"/>
      <c r="AM205" s="200"/>
      <c r="AN205" s="200"/>
      <c r="AO205" s="200"/>
      <c r="AP205" s="200"/>
      <c r="AQ205" s="200"/>
      <c r="AR205" s="15">
        <v>1</v>
      </c>
    </row>
    <row r="206" spans="1:48" ht="16.5" customHeight="1">
      <c r="A206" s="197"/>
      <c r="B206" s="197"/>
      <c r="AI206" s="201">
        <f>'1'!$AI$2</f>
        <v>44677</v>
      </c>
      <c r="AJ206" s="201"/>
      <c r="AK206" s="201"/>
      <c r="AL206" s="201"/>
      <c r="AM206" s="201"/>
      <c r="AN206" s="201"/>
      <c r="AO206" s="201"/>
      <c r="AP206" s="201"/>
      <c r="AQ206" s="201"/>
      <c r="AR206" s="15">
        <f>AR205+1</f>
        <v>2</v>
      </c>
    </row>
    <row r="207" spans="1:48" ht="18.75" customHeight="1">
      <c r="A207" s="198"/>
      <c r="B207" s="198"/>
      <c r="C207" s="198"/>
      <c r="D207" s="198"/>
      <c r="E207" s="198"/>
      <c r="F207" s="198"/>
      <c r="G207" s="198"/>
      <c r="H207" s="198"/>
      <c r="I207" s="198"/>
      <c r="J207" s="198"/>
      <c r="K207" s="198"/>
      <c r="L207" s="198"/>
      <c r="M207" s="198"/>
      <c r="N207" s="198"/>
      <c r="O207" s="198"/>
      <c r="P207" s="198"/>
      <c r="Q207" s="198"/>
      <c r="R207" s="198"/>
      <c r="S207" s="198"/>
      <c r="T207" s="198"/>
      <c r="U207" s="198"/>
      <c r="V207" s="198"/>
      <c r="W207" s="198"/>
      <c r="X207" s="198"/>
      <c r="Y207" s="198"/>
      <c r="Z207" s="198"/>
      <c r="AA207" s="198"/>
      <c r="AB207" s="198"/>
      <c r="AC207" s="198"/>
      <c r="AD207" s="198"/>
      <c r="AE207" s="198"/>
      <c r="AF207" s="198"/>
      <c r="AG207" s="198"/>
      <c r="AH207" s="198"/>
      <c r="AI207" s="198"/>
      <c r="AJ207" s="198"/>
      <c r="AK207" s="198"/>
      <c r="AL207" s="198"/>
      <c r="AM207" s="198"/>
      <c r="AN207" s="198"/>
      <c r="AO207" s="198"/>
      <c r="AP207" s="198"/>
      <c r="AQ207" s="198"/>
      <c r="AR207" s="15">
        <f t="shared" ref="AR207:AR238" si="6">AR206+1</f>
        <v>3</v>
      </c>
    </row>
    <row r="208" spans="1:48" ht="18.75" customHeight="1">
      <c r="A208" s="199" t="str">
        <f>INDEX(送付先一覧!A:O,MATCH(AV208,送付先一覧!A:A,0),4)</f>
        <v>株式会社ミツイ</v>
      </c>
      <c r="B208" s="199"/>
      <c r="C208" s="199"/>
      <c r="D208" s="199"/>
      <c r="E208" s="199"/>
      <c r="F208" s="199"/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  <c r="T208" s="199"/>
      <c r="U208" s="199"/>
      <c r="V208" s="199"/>
      <c r="W208" s="199"/>
      <c r="X208" s="199"/>
      <c r="Y208" s="199"/>
      <c r="Z208" s="199"/>
      <c r="AA208" s="199"/>
      <c r="AB208" s="199"/>
      <c r="AC208" s="199"/>
      <c r="AD208" s="199"/>
      <c r="AE208" s="199"/>
      <c r="AF208" s="199"/>
      <c r="AG208" s="199"/>
      <c r="AH208" s="199"/>
      <c r="AI208" s="199"/>
      <c r="AJ208" s="199"/>
      <c r="AK208" s="199"/>
      <c r="AL208" s="199"/>
      <c r="AM208" s="199"/>
      <c r="AN208" s="199"/>
      <c r="AO208" s="199"/>
      <c r="AP208" s="199"/>
      <c r="AQ208" s="199"/>
      <c r="AR208" s="15">
        <f t="shared" si="6"/>
        <v>4</v>
      </c>
      <c r="AV208" s="65">
        <f>AV174+1</f>
        <v>13</v>
      </c>
    </row>
    <row r="209" spans="1:44" ht="18.75" customHeight="1">
      <c r="A209" s="202" t="str">
        <f>INDEX(送付先一覧!A:O,MATCH(AV208,送付先一覧!A:A,0),5)</f>
        <v>代表取締役社長　金沢　和樹</v>
      </c>
      <c r="B209" s="202"/>
      <c r="C209" s="202"/>
      <c r="D209" s="202"/>
      <c r="E209" s="202"/>
      <c r="F209" s="202"/>
      <c r="G209" s="202"/>
      <c r="H209" s="202"/>
      <c r="I209" s="202"/>
      <c r="J209" s="202"/>
      <c r="K209" s="202"/>
      <c r="L209" s="202"/>
      <c r="M209" s="202"/>
      <c r="N209" s="202"/>
      <c r="O209" s="202"/>
      <c r="P209" s="202"/>
      <c r="Q209" s="202"/>
      <c r="R209" s="202"/>
      <c r="S209" s="202"/>
      <c r="T209" s="202"/>
      <c r="U209" s="202"/>
      <c r="V209" s="202"/>
      <c r="W209" s="202"/>
      <c r="X209" s="202"/>
      <c r="Y209" s="202"/>
      <c r="Z209" s="202"/>
      <c r="AA209" s="202"/>
      <c r="AB209" s="202"/>
      <c r="AC209" s="202"/>
      <c r="AD209" s="202"/>
      <c r="AE209" s="202"/>
      <c r="AF209" s="202"/>
      <c r="AG209" s="202"/>
      <c r="AH209" s="202"/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15">
        <f t="shared" si="6"/>
        <v>5</v>
      </c>
    </row>
    <row r="210" spans="1:44" ht="18.75" customHeight="1">
      <c r="A210" s="198"/>
      <c r="B210" s="198"/>
      <c r="C210" s="198"/>
      <c r="D210" s="198"/>
      <c r="E210" s="198"/>
      <c r="F210" s="198"/>
      <c r="G210" s="198"/>
      <c r="H210" s="198"/>
      <c r="I210" s="198"/>
      <c r="J210" s="198"/>
      <c r="K210" s="198"/>
      <c r="L210" s="198"/>
      <c r="M210" s="198"/>
      <c r="N210" s="198"/>
      <c r="O210" s="198"/>
      <c r="P210" s="198"/>
      <c r="Q210" s="198"/>
      <c r="R210" s="198"/>
      <c r="S210" s="198"/>
      <c r="T210" s="198"/>
      <c r="U210" s="198"/>
      <c r="V210" s="198"/>
      <c r="W210" s="198"/>
      <c r="X210" s="198"/>
      <c r="Y210" s="198"/>
      <c r="Z210" s="198"/>
      <c r="AA210" s="198"/>
      <c r="AB210" s="198"/>
      <c r="AC210" s="198"/>
      <c r="AD210" s="198"/>
      <c r="AE210" s="198"/>
      <c r="AF210" s="198"/>
      <c r="AG210" s="198"/>
      <c r="AH210" s="198"/>
      <c r="AI210" s="198"/>
      <c r="AJ210" s="198"/>
      <c r="AK210" s="198"/>
      <c r="AL210" s="198"/>
      <c r="AM210" s="198"/>
      <c r="AN210" s="198"/>
      <c r="AO210" s="198"/>
      <c r="AP210" s="198"/>
      <c r="AQ210" s="198"/>
      <c r="AR210" s="15">
        <f t="shared" si="6"/>
        <v>6</v>
      </c>
    </row>
    <row r="211" spans="1:44" ht="18.75" customHeight="1">
      <c r="V211" s="199" t="str">
        <f>'1'!$V$7</f>
        <v>仙台市健康福祉局障害福祉部障害企画課長　　</v>
      </c>
      <c r="W211" s="199"/>
      <c r="X211" s="199"/>
      <c r="Y211" s="199"/>
      <c r="Z211" s="199"/>
      <c r="AA211" s="199"/>
      <c r="AB211" s="199"/>
      <c r="AC211" s="199"/>
      <c r="AD211" s="199"/>
      <c r="AE211" s="199"/>
      <c r="AF211" s="199"/>
      <c r="AG211" s="199"/>
      <c r="AH211" s="199"/>
      <c r="AI211" s="199"/>
      <c r="AJ211" s="199"/>
      <c r="AK211" s="199"/>
      <c r="AL211" s="199"/>
      <c r="AM211" s="199"/>
      <c r="AN211" s="199"/>
      <c r="AO211" s="199"/>
      <c r="AP211" s="199"/>
      <c r="AQ211" s="199"/>
      <c r="AR211" s="15">
        <f t="shared" si="6"/>
        <v>7</v>
      </c>
    </row>
    <row r="212" spans="1:44" ht="18.75" customHeight="1">
      <c r="V212" s="199" t="str">
        <f>'1'!$V$8</f>
        <v>仙台市健康福祉局障害福祉部障害者支援課長　</v>
      </c>
      <c r="W212" s="199"/>
      <c r="X212" s="199"/>
      <c r="Y212" s="199"/>
      <c r="Z212" s="199"/>
      <c r="AA212" s="199"/>
      <c r="AB212" s="199"/>
      <c r="AC212" s="199"/>
      <c r="AD212" s="199"/>
      <c r="AE212" s="199"/>
      <c r="AF212" s="199"/>
      <c r="AG212" s="199"/>
      <c r="AH212" s="199"/>
      <c r="AI212" s="199"/>
      <c r="AJ212" s="199"/>
      <c r="AK212" s="199"/>
      <c r="AL212" s="199"/>
      <c r="AM212" s="199"/>
      <c r="AN212" s="199"/>
      <c r="AO212" s="199"/>
      <c r="AP212" s="199"/>
      <c r="AQ212" s="199"/>
      <c r="AR212" s="15">
        <f t="shared" si="6"/>
        <v>8</v>
      </c>
    </row>
    <row r="213" spans="1:44" ht="18.75" customHeight="1">
      <c r="A213" s="198"/>
      <c r="B213" s="198"/>
      <c r="C213" s="198"/>
      <c r="D213" s="198"/>
      <c r="E213" s="198"/>
      <c r="F213" s="198"/>
      <c r="G213" s="198"/>
      <c r="H213" s="198"/>
      <c r="I213" s="198"/>
      <c r="J213" s="198"/>
      <c r="K213" s="198"/>
      <c r="L213" s="198"/>
      <c r="M213" s="198"/>
      <c r="N213" s="198"/>
      <c r="O213" s="198"/>
      <c r="P213" s="198"/>
      <c r="Q213" s="198"/>
      <c r="R213" s="198"/>
      <c r="S213" s="198"/>
      <c r="T213" s="198"/>
      <c r="U213" s="198"/>
      <c r="V213" s="198"/>
      <c r="W213" s="198"/>
      <c r="X213" s="198"/>
      <c r="Y213" s="198"/>
      <c r="Z213" s="198"/>
      <c r="AA213" s="198"/>
      <c r="AB213" s="198"/>
      <c r="AC213" s="198"/>
      <c r="AD213" s="198"/>
      <c r="AE213" s="198"/>
      <c r="AF213" s="198"/>
      <c r="AG213" s="198"/>
      <c r="AH213" s="198"/>
      <c r="AI213" s="198"/>
      <c r="AJ213" s="198"/>
      <c r="AK213" s="198"/>
      <c r="AL213" s="198"/>
      <c r="AM213" s="198"/>
      <c r="AN213" s="198"/>
      <c r="AO213" s="198"/>
      <c r="AP213" s="198"/>
      <c r="AQ213" s="198"/>
      <c r="AR213" s="15">
        <f t="shared" si="6"/>
        <v>9</v>
      </c>
    </row>
    <row r="214" spans="1:44" ht="22.5" customHeight="1">
      <c r="A214" s="203" t="str">
        <f>'1'!$A$10</f>
        <v>令和４年度仙台市障害福祉分野のICT導入モデル事業補助金の内示について</v>
      </c>
      <c r="B214" s="203"/>
      <c r="C214" s="203"/>
      <c r="D214" s="203"/>
      <c r="E214" s="203"/>
      <c r="F214" s="203"/>
      <c r="G214" s="203"/>
      <c r="H214" s="203"/>
      <c r="I214" s="203"/>
      <c r="J214" s="203"/>
      <c r="K214" s="203"/>
      <c r="L214" s="203"/>
      <c r="M214" s="203"/>
      <c r="N214" s="203"/>
      <c r="O214" s="203"/>
      <c r="P214" s="203"/>
      <c r="Q214" s="203"/>
      <c r="R214" s="203"/>
      <c r="S214" s="203"/>
      <c r="T214" s="203"/>
      <c r="U214" s="203"/>
      <c r="V214" s="203"/>
      <c r="W214" s="203"/>
      <c r="X214" s="203"/>
      <c r="Y214" s="203"/>
      <c r="Z214" s="203"/>
      <c r="AA214" s="203"/>
      <c r="AB214" s="203"/>
      <c r="AC214" s="203"/>
      <c r="AD214" s="203"/>
      <c r="AE214" s="203"/>
      <c r="AF214" s="203"/>
      <c r="AG214" s="203"/>
      <c r="AH214" s="203"/>
      <c r="AI214" s="203"/>
      <c r="AJ214" s="203"/>
      <c r="AK214" s="203"/>
      <c r="AL214" s="203"/>
      <c r="AM214" s="203"/>
      <c r="AN214" s="203"/>
      <c r="AO214" s="203"/>
      <c r="AP214" s="203"/>
      <c r="AQ214" s="203"/>
      <c r="AR214" s="15">
        <f t="shared" si="6"/>
        <v>10</v>
      </c>
    </row>
    <row r="215" spans="1:44" ht="18.75" customHeight="1">
      <c r="A215" s="198"/>
      <c r="B215" s="198"/>
      <c r="C215" s="198"/>
      <c r="D215" s="198"/>
      <c r="E215" s="198"/>
      <c r="F215" s="198"/>
      <c r="G215" s="198"/>
      <c r="H215" s="198"/>
      <c r="I215" s="198"/>
      <c r="J215" s="198"/>
      <c r="K215" s="198"/>
      <c r="L215" s="198"/>
      <c r="M215" s="198"/>
      <c r="N215" s="198"/>
      <c r="O215" s="198"/>
      <c r="P215" s="198"/>
      <c r="Q215" s="198"/>
      <c r="R215" s="198"/>
      <c r="S215" s="198"/>
      <c r="T215" s="198"/>
      <c r="U215" s="198"/>
      <c r="V215" s="198"/>
      <c r="W215" s="198"/>
      <c r="X215" s="198"/>
      <c r="Y215" s="198"/>
      <c r="Z215" s="198"/>
      <c r="AA215" s="198"/>
      <c r="AB215" s="198"/>
      <c r="AC215" s="198"/>
      <c r="AD215" s="198"/>
      <c r="AE215" s="198"/>
      <c r="AF215" s="198"/>
      <c r="AG215" s="198"/>
      <c r="AH215" s="198"/>
      <c r="AI215" s="198"/>
      <c r="AJ215" s="198"/>
      <c r="AK215" s="198"/>
      <c r="AL215" s="198"/>
      <c r="AM215" s="198"/>
      <c r="AN215" s="198"/>
      <c r="AO215" s="198"/>
      <c r="AP215" s="198"/>
      <c r="AQ215" s="198"/>
      <c r="AR215" s="15">
        <f t="shared" si="6"/>
        <v>11</v>
      </c>
    </row>
    <row r="216" spans="1:44" ht="93.75" customHeight="1">
      <c r="A216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216" s="205"/>
      <c r="C216" s="205"/>
      <c r="D216" s="205"/>
      <c r="E216" s="205"/>
      <c r="F216" s="205"/>
      <c r="G216" s="205"/>
      <c r="H216" s="205"/>
      <c r="I216" s="205"/>
      <c r="J216" s="205"/>
      <c r="K216" s="205"/>
      <c r="L216" s="205"/>
      <c r="M216" s="205"/>
      <c r="N216" s="205"/>
      <c r="O216" s="205"/>
      <c r="P216" s="205"/>
      <c r="Q216" s="205"/>
      <c r="R216" s="205"/>
      <c r="S216" s="205"/>
      <c r="T216" s="205"/>
      <c r="U216" s="205"/>
      <c r="V216" s="205"/>
      <c r="W216" s="205"/>
      <c r="X216" s="205"/>
      <c r="Y216" s="205"/>
      <c r="Z216" s="205"/>
      <c r="AA216" s="205"/>
      <c r="AB216" s="205"/>
      <c r="AC216" s="205"/>
      <c r="AD216" s="205"/>
      <c r="AE216" s="205"/>
      <c r="AF216" s="205"/>
      <c r="AG216" s="205"/>
      <c r="AH216" s="205"/>
      <c r="AI216" s="205"/>
      <c r="AJ216" s="205"/>
      <c r="AK216" s="205"/>
      <c r="AL216" s="205"/>
      <c r="AM216" s="205"/>
      <c r="AN216" s="205"/>
      <c r="AO216" s="205"/>
      <c r="AP216" s="205"/>
      <c r="AQ216" s="205"/>
      <c r="AR216" s="15">
        <f t="shared" si="6"/>
        <v>12</v>
      </c>
    </row>
    <row r="217" spans="1:44" ht="18.75" customHeight="1">
      <c r="A217" s="198"/>
      <c r="B217" s="198"/>
      <c r="C217" s="198"/>
      <c r="D217" s="198"/>
      <c r="E217" s="198"/>
      <c r="F217" s="198"/>
      <c r="G217" s="198"/>
      <c r="H217" s="198"/>
      <c r="I217" s="198"/>
      <c r="J217" s="198"/>
      <c r="K217" s="198"/>
      <c r="L217" s="198"/>
      <c r="M217" s="198"/>
      <c r="N217" s="198"/>
      <c r="O217" s="198"/>
      <c r="P217" s="198"/>
      <c r="Q217" s="198"/>
      <c r="R217" s="198"/>
      <c r="S217" s="198"/>
      <c r="T217" s="198"/>
      <c r="U217" s="198"/>
      <c r="V217" s="198"/>
      <c r="W217" s="198"/>
      <c r="X217" s="198"/>
      <c r="Y217" s="198"/>
      <c r="Z217" s="198"/>
      <c r="AA217" s="198"/>
      <c r="AB217" s="198"/>
      <c r="AC217" s="198"/>
      <c r="AD217" s="198"/>
      <c r="AE217" s="198"/>
      <c r="AF217" s="198"/>
      <c r="AG217" s="198"/>
      <c r="AH217" s="198"/>
      <c r="AI217" s="198"/>
      <c r="AJ217" s="198"/>
      <c r="AK217" s="198"/>
      <c r="AL217" s="198"/>
      <c r="AM217" s="198"/>
      <c r="AN217" s="198"/>
      <c r="AO217" s="198"/>
      <c r="AP217" s="198"/>
      <c r="AQ217" s="198"/>
      <c r="AR217" s="15">
        <f t="shared" si="6"/>
        <v>13</v>
      </c>
    </row>
    <row r="218" spans="1:44" ht="18.75" customHeight="1">
      <c r="A218" s="197" t="str">
        <f>'1'!$A$14</f>
        <v>記</v>
      </c>
      <c r="B218" s="197"/>
      <c r="C218" s="197"/>
      <c r="D218" s="197"/>
      <c r="E218" s="197"/>
      <c r="F218" s="197"/>
      <c r="G218" s="197"/>
      <c r="H218" s="197"/>
      <c r="I218" s="197"/>
      <c r="J218" s="197"/>
      <c r="K218" s="197"/>
      <c r="L218" s="197"/>
      <c r="M218" s="197"/>
      <c r="N218" s="197"/>
      <c r="O218" s="197"/>
      <c r="P218" s="197"/>
      <c r="Q218" s="197"/>
      <c r="R218" s="197"/>
      <c r="S218" s="197"/>
      <c r="T218" s="197"/>
      <c r="U218" s="197"/>
      <c r="V218" s="197"/>
      <c r="W218" s="197"/>
      <c r="X218" s="197"/>
      <c r="Y218" s="197"/>
      <c r="Z218" s="197"/>
      <c r="AA218" s="197"/>
      <c r="AB218" s="197"/>
      <c r="AC218" s="197"/>
      <c r="AD218" s="197"/>
      <c r="AE218" s="197"/>
      <c r="AF218" s="197"/>
      <c r="AG218" s="197"/>
      <c r="AH218" s="197"/>
      <c r="AI218" s="197"/>
      <c r="AJ218" s="197"/>
      <c r="AK218" s="197"/>
      <c r="AL218" s="197"/>
      <c r="AM218" s="197"/>
      <c r="AN218" s="197"/>
      <c r="AO218" s="197"/>
      <c r="AP218" s="197"/>
      <c r="AQ218" s="197"/>
      <c r="AR218" s="15">
        <f t="shared" si="6"/>
        <v>14</v>
      </c>
    </row>
    <row r="219" spans="1:44" ht="18.75" customHeight="1">
      <c r="A219" s="198"/>
      <c r="B219" s="198"/>
      <c r="C219" s="198"/>
      <c r="D219" s="198"/>
      <c r="E219" s="198"/>
      <c r="F219" s="198"/>
      <c r="G219" s="198"/>
      <c r="H219" s="198"/>
      <c r="I219" s="198"/>
      <c r="J219" s="198"/>
      <c r="K219" s="198"/>
      <c r="L219" s="198"/>
      <c r="M219" s="198"/>
      <c r="N219" s="198"/>
      <c r="O219" s="198"/>
      <c r="P219" s="198"/>
      <c r="Q219" s="198"/>
      <c r="R219" s="198"/>
      <c r="S219" s="198"/>
      <c r="T219" s="198"/>
      <c r="U219" s="198"/>
      <c r="V219" s="198"/>
      <c r="W219" s="198"/>
      <c r="X219" s="198"/>
      <c r="Y219" s="198"/>
      <c r="Z219" s="198"/>
      <c r="AA219" s="198"/>
      <c r="AB219" s="198"/>
      <c r="AC219" s="198"/>
      <c r="AD219" s="198"/>
      <c r="AE219" s="198"/>
      <c r="AF219" s="198"/>
      <c r="AG219" s="198"/>
      <c r="AH219" s="198"/>
      <c r="AI219" s="198"/>
      <c r="AJ219" s="198"/>
      <c r="AK219" s="198"/>
      <c r="AL219" s="198"/>
      <c r="AM219" s="198"/>
      <c r="AN219" s="198"/>
      <c r="AO219" s="198"/>
      <c r="AP219" s="198"/>
      <c r="AQ219" s="198"/>
      <c r="AR219" s="15">
        <f t="shared" si="6"/>
        <v>15</v>
      </c>
    </row>
    <row r="220" spans="1:44" ht="18.75" customHeight="1">
      <c r="I220" s="199" t="str">
        <f>'1'!$I$16</f>
        <v>補助内示額</v>
      </c>
      <c r="J220" s="199"/>
      <c r="K220" s="199"/>
      <c r="L220" s="199"/>
      <c r="M220" s="199"/>
      <c r="N220" s="199"/>
      <c r="S220" s="206">
        <f>INDEX(送付先一覧!A:O,MATCH(AV208,送付先一覧!A:A,0),12)</f>
        <v>666000</v>
      </c>
      <c r="T220" s="206"/>
      <c r="U220" s="206"/>
      <c r="V220" s="206"/>
      <c r="W220" s="206"/>
      <c r="X220" s="206"/>
      <c r="Y220" s="206"/>
      <c r="Z220" s="206"/>
      <c r="AA220" s="206"/>
      <c r="AB220" s="206"/>
      <c r="AC220" s="206"/>
      <c r="AD220" s="206"/>
      <c r="AE220" s="206"/>
      <c r="AF220" s="199"/>
      <c r="AG220" s="199"/>
      <c r="AH220" s="199"/>
      <c r="AI220" s="199"/>
      <c r="AR220" s="15">
        <f t="shared" si="6"/>
        <v>16</v>
      </c>
    </row>
    <row r="221" spans="1:44" ht="18.75" customHeight="1">
      <c r="I221" s="199" t="str">
        <f>'1'!$I$17</f>
        <v>事業種別</v>
      </c>
      <c r="J221" s="199"/>
      <c r="K221" s="199"/>
      <c r="L221" s="199"/>
      <c r="M221" s="199"/>
      <c r="N221" s="199"/>
      <c r="O221" s="199"/>
      <c r="P221" s="199"/>
      <c r="Q221" s="199"/>
      <c r="R221" s="199"/>
      <c r="S221" s="199" t="str">
        <f>INDEX(送付先一覧!A:O,MATCH(AV208,送付先一覧!A:A,0),9)</f>
        <v>放課後等デイサービス</v>
      </c>
      <c r="T221" s="199"/>
      <c r="U221" s="199"/>
      <c r="V221" s="199"/>
      <c r="W221" s="199"/>
      <c r="X221" s="199"/>
      <c r="Y221" s="199"/>
      <c r="Z221" s="199"/>
      <c r="AA221" s="199"/>
      <c r="AB221" s="199"/>
      <c r="AC221" s="199"/>
      <c r="AD221" s="199"/>
      <c r="AE221" s="199"/>
      <c r="AF221" s="199"/>
      <c r="AG221" s="199"/>
      <c r="AH221" s="199"/>
      <c r="AI221" s="199"/>
      <c r="AJ221" s="199"/>
      <c r="AK221" s="199"/>
      <c r="AL221" s="199"/>
      <c r="AM221" s="199"/>
      <c r="AN221" s="199"/>
      <c r="AO221" s="199"/>
      <c r="AP221" s="199"/>
      <c r="AR221" s="15">
        <f t="shared" si="6"/>
        <v>17</v>
      </c>
    </row>
    <row r="222" spans="1:44" ht="18.75" customHeight="1">
      <c r="I222" s="199" t="str">
        <f>'1'!$I$18</f>
        <v>事業所名</v>
      </c>
      <c r="J222" s="199"/>
      <c r="K222" s="199"/>
      <c r="L222" s="199"/>
      <c r="M222" s="199"/>
      <c r="N222" s="199"/>
      <c r="O222" s="199"/>
      <c r="P222" s="199"/>
      <c r="Q222" s="199"/>
      <c r="R222" s="199"/>
      <c r="S222" s="204" t="str">
        <f>INDEX(送付先一覧!A:O,MATCH(AV208,送付先一覧!A:A,0),8)</f>
        <v>リッキー南仙台</v>
      </c>
      <c r="T222" s="204"/>
      <c r="U222" s="204"/>
      <c r="V222" s="204"/>
      <c r="W222" s="204"/>
      <c r="X222" s="204"/>
      <c r="Y222" s="204"/>
      <c r="Z222" s="204"/>
      <c r="AA222" s="204"/>
      <c r="AB222" s="204"/>
      <c r="AC222" s="204"/>
      <c r="AD222" s="204"/>
      <c r="AE222" s="204"/>
      <c r="AF222" s="204"/>
      <c r="AG222" s="204"/>
      <c r="AH222" s="204"/>
      <c r="AI222" s="204"/>
      <c r="AJ222" s="204"/>
      <c r="AK222" s="204"/>
      <c r="AL222" s="204"/>
      <c r="AM222" s="204"/>
      <c r="AN222" s="204"/>
      <c r="AO222" s="204"/>
      <c r="AP222" s="204"/>
      <c r="AQ222" s="204"/>
      <c r="AR222" s="15">
        <f t="shared" si="6"/>
        <v>18</v>
      </c>
    </row>
    <row r="223" spans="1:44" ht="18.75" customHeight="1">
      <c r="I223" s="198"/>
      <c r="J223" s="198"/>
      <c r="K223" s="198"/>
      <c r="L223" s="198"/>
      <c r="M223" s="198"/>
      <c r="N223" s="198"/>
      <c r="O223" s="198"/>
      <c r="P223" s="198"/>
      <c r="Q223" s="198"/>
      <c r="R223" s="198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  <c r="AI223" s="66"/>
      <c r="AJ223" s="66"/>
      <c r="AK223" s="66"/>
      <c r="AL223" s="66"/>
      <c r="AM223" s="66"/>
      <c r="AN223" s="66"/>
      <c r="AO223" s="66"/>
      <c r="AP223" s="66"/>
      <c r="AQ223" s="66"/>
      <c r="AR223" s="15">
        <f t="shared" si="6"/>
        <v>19</v>
      </c>
    </row>
    <row r="224" spans="1:44" ht="18.75" customHeight="1">
      <c r="I224" s="198"/>
      <c r="J224" s="198"/>
      <c r="K224" s="198"/>
      <c r="L224" s="198"/>
      <c r="M224" s="198"/>
      <c r="N224" s="198"/>
      <c r="O224" s="198"/>
      <c r="P224" s="198"/>
      <c r="Q224" s="198"/>
      <c r="R224" s="198"/>
      <c r="S224" s="198"/>
      <c r="T224" s="198"/>
      <c r="U224" s="198"/>
      <c r="V224" s="198"/>
      <c r="W224" s="198"/>
      <c r="X224" s="198"/>
      <c r="Y224" s="198"/>
      <c r="Z224" s="198"/>
      <c r="AA224" s="198"/>
      <c r="AB224" s="198"/>
      <c r="AC224" s="198"/>
      <c r="AD224" s="198"/>
      <c r="AE224" s="198"/>
      <c r="AF224" s="198"/>
      <c r="AG224" s="198"/>
      <c r="AH224" s="198"/>
      <c r="AI224" s="198"/>
      <c r="AR224" s="15">
        <f t="shared" si="6"/>
        <v>20</v>
      </c>
    </row>
    <row r="225" spans="1:44" ht="18.75" customHeight="1">
      <c r="A225" s="198"/>
      <c r="B225" s="198"/>
      <c r="C225" s="198"/>
      <c r="D225" s="198"/>
      <c r="E225" s="198"/>
      <c r="F225" s="198"/>
      <c r="G225" s="198"/>
      <c r="H225" s="198"/>
      <c r="I225" s="198"/>
      <c r="J225" s="198"/>
      <c r="K225" s="198"/>
      <c r="L225" s="198"/>
      <c r="M225" s="198"/>
      <c r="N225" s="198"/>
      <c r="O225" s="198"/>
      <c r="P225" s="198"/>
      <c r="Q225" s="198"/>
      <c r="R225" s="198"/>
      <c r="S225" s="198"/>
      <c r="T225" s="198"/>
      <c r="U225" s="198"/>
      <c r="V225" s="198"/>
      <c r="W225" s="198"/>
      <c r="X225" s="198"/>
      <c r="Y225" s="198"/>
      <c r="Z225" s="198"/>
      <c r="AA225" s="198"/>
      <c r="AB225" s="198"/>
      <c r="AC225" s="198"/>
      <c r="AD225" s="198"/>
      <c r="AE225" s="198"/>
      <c r="AF225" s="198"/>
      <c r="AG225" s="198"/>
      <c r="AH225" s="198"/>
      <c r="AI225" s="198"/>
      <c r="AJ225" s="198"/>
      <c r="AK225" s="198"/>
      <c r="AL225" s="198"/>
      <c r="AM225" s="198"/>
      <c r="AN225" s="198"/>
      <c r="AO225" s="198"/>
      <c r="AP225" s="198"/>
      <c r="AQ225" s="198"/>
      <c r="AR225" s="15">
        <f t="shared" si="6"/>
        <v>21</v>
      </c>
    </row>
    <row r="226" spans="1:44" ht="18.75" customHeight="1">
      <c r="A226" s="198"/>
      <c r="B226" s="198"/>
      <c r="C226" s="198"/>
      <c r="D226" s="198"/>
      <c r="E226" s="198"/>
      <c r="F226" s="198"/>
      <c r="G226" s="198"/>
      <c r="H226" s="198"/>
      <c r="I226" s="198"/>
      <c r="J226" s="198"/>
      <c r="K226" s="198"/>
      <c r="L226" s="198"/>
      <c r="M226" s="198"/>
      <c r="N226" s="198"/>
      <c r="O226" s="198"/>
      <c r="P226" s="198"/>
      <c r="Q226" s="198"/>
      <c r="R226" s="198"/>
      <c r="S226" s="198"/>
      <c r="T226" s="198"/>
      <c r="U226" s="198"/>
      <c r="V226" s="198"/>
      <c r="W226" s="198"/>
      <c r="X226" s="198"/>
      <c r="Y226" s="198"/>
      <c r="Z226" s="198"/>
      <c r="AA226" s="198"/>
      <c r="AB226" s="198"/>
      <c r="AC226" s="198"/>
      <c r="AD226" s="198"/>
      <c r="AE226" s="198"/>
      <c r="AF226" s="198"/>
      <c r="AG226" s="198"/>
      <c r="AH226" s="198"/>
      <c r="AI226" s="198"/>
      <c r="AJ226" s="198"/>
      <c r="AK226" s="198"/>
      <c r="AL226" s="198"/>
      <c r="AM226" s="198"/>
      <c r="AN226" s="198"/>
      <c r="AO226" s="198"/>
      <c r="AP226" s="198"/>
      <c r="AQ226" s="198"/>
      <c r="AR226" s="15">
        <f t="shared" si="6"/>
        <v>22</v>
      </c>
    </row>
    <row r="227" spans="1:44" ht="18.75" customHeight="1">
      <c r="A227" s="198"/>
      <c r="B227" s="198"/>
      <c r="C227" s="198"/>
      <c r="D227" s="198"/>
      <c r="E227" s="198"/>
      <c r="F227" s="198"/>
      <c r="G227" s="198"/>
      <c r="H227" s="198"/>
      <c r="I227" s="198"/>
      <c r="J227" s="198"/>
      <c r="K227" s="198"/>
      <c r="L227" s="198"/>
      <c r="M227" s="198"/>
      <c r="N227" s="198"/>
      <c r="O227" s="198"/>
      <c r="P227" s="198"/>
      <c r="Q227" s="198"/>
      <c r="R227" s="198"/>
      <c r="S227" s="198"/>
      <c r="T227" s="198"/>
      <c r="U227" s="198"/>
      <c r="V227" s="198"/>
      <c r="W227" s="198"/>
      <c r="X227" s="198"/>
      <c r="Y227" s="198"/>
      <c r="Z227" s="198"/>
      <c r="AA227" s="198"/>
      <c r="AB227" s="198"/>
      <c r="AC227" s="198"/>
      <c r="AD227" s="198"/>
      <c r="AE227" s="198"/>
      <c r="AF227" s="198"/>
      <c r="AG227" s="198"/>
      <c r="AH227" s="198"/>
      <c r="AI227" s="198"/>
      <c r="AJ227" s="198"/>
      <c r="AK227" s="198"/>
      <c r="AL227" s="198"/>
      <c r="AM227" s="198"/>
      <c r="AN227" s="198"/>
      <c r="AO227" s="198"/>
      <c r="AP227" s="198"/>
      <c r="AQ227" s="198"/>
      <c r="AR227" s="15">
        <f t="shared" si="6"/>
        <v>23</v>
      </c>
    </row>
    <row r="228" spans="1:44" ht="18.75" customHeight="1">
      <c r="A228" s="198"/>
      <c r="B228" s="198"/>
      <c r="C228" s="198"/>
      <c r="D228" s="198"/>
      <c r="E228" s="198"/>
      <c r="F228" s="198"/>
      <c r="G228" s="198"/>
      <c r="H228" s="198"/>
      <c r="I228" s="198"/>
      <c r="J228" s="198"/>
      <c r="K228" s="198"/>
      <c r="L228" s="198"/>
      <c r="M228" s="198"/>
      <c r="N228" s="198"/>
      <c r="O228" s="198"/>
      <c r="P228" s="198"/>
      <c r="Q228" s="198"/>
      <c r="R228" s="198"/>
      <c r="S228" s="198"/>
      <c r="T228" s="198"/>
      <c r="U228" s="198"/>
      <c r="V228" s="198"/>
      <c r="W228" s="198"/>
      <c r="X228" s="198"/>
      <c r="Y228" s="198"/>
      <c r="Z228" s="198"/>
      <c r="AA228" s="198"/>
      <c r="AB228" s="198"/>
      <c r="AC228" s="198"/>
      <c r="AD228" s="198"/>
      <c r="AE228" s="198"/>
      <c r="AF228" s="198"/>
      <c r="AG228" s="198"/>
      <c r="AH228" s="198"/>
      <c r="AI228" s="198"/>
      <c r="AJ228" s="198"/>
      <c r="AK228" s="198"/>
      <c r="AL228" s="198"/>
      <c r="AM228" s="198"/>
      <c r="AN228" s="198"/>
      <c r="AO228" s="198"/>
      <c r="AP228" s="198"/>
      <c r="AQ228" s="198"/>
      <c r="AR228" s="15">
        <f t="shared" si="6"/>
        <v>24</v>
      </c>
    </row>
    <row r="229" spans="1:44" ht="18.75" customHeight="1">
      <c r="A229" s="198"/>
      <c r="B229" s="198"/>
      <c r="C229" s="198"/>
      <c r="D229" s="198"/>
      <c r="E229" s="198"/>
      <c r="F229" s="198"/>
      <c r="G229" s="198"/>
      <c r="H229" s="198"/>
      <c r="I229" s="198"/>
      <c r="J229" s="198"/>
      <c r="K229" s="198"/>
      <c r="L229" s="198"/>
      <c r="M229" s="198"/>
      <c r="N229" s="198"/>
      <c r="O229" s="198"/>
      <c r="P229" s="198"/>
      <c r="Q229" s="198"/>
      <c r="R229" s="198"/>
      <c r="S229" s="198"/>
      <c r="T229" s="198"/>
      <c r="U229" s="198"/>
      <c r="V229" s="198"/>
      <c r="W229" s="198"/>
      <c r="X229" s="198"/>
      <c r="Y229" s="198"/>
      <c r="Z229" s="198"/>
      <c r="AA229" s="198"/>
      <c r="AB229" s="198"/>
      <c r="AC229" s="198"/>
      <c r="AD229" s="198"/>
      <c r="AE229" s="198"/>
      <c r="AF229" s="198"/>
      <c r="AG229" s="198"/>
      <c r="AH229" s="198"/>
      <c r="AI229" s="198"/>
      <c r="AJ229" s="198"/>
      <c r="AK229" s="198"/>
      <c r="AL229" s="198"/>
      <c r="AM229" s="198"/>
      <c r="AN229" s="198"/>
      <c r="AO229" s="198"/>
      <c r="AP229" s="198"/>
      <c r="AQ229" s="198"/>
      <c r="AR229" s="15">
        <f t="shared" si="6"/>
        <v>25</v>
      </c>
    </row>
    <row r="230" spans="1:44" ht="18.75" customHeight="1">
      <c r="A230" s="198"/>
      <c r="B230" s="198"/>
      <c r="C230" s="198"/>
      <c r="D230" s="198"/>
      <c r="E230" s="198"/>
      <c r="F230" s="198"/>
      <c r="G230" s="198"/>
      <c r="H230" s="198"/>
      <c r="I230" s="198"/>
      <c r="J230" s="198"/>
      <c r="K230" s="198"/>
      <c r="L230" s="198"/>
      <c r="M230" s="198"/>
      <c r="N230" s="198"/>
      <c r="O230" s="198"/>
      <c r="P230" s="198"/>
      <c r="Q230" s="198"/>
      <c r="R230" s="198"/>
      <c r="S230" s="198"/>
      <c r="T230" s="198"/>
      <c r="U230" s="198"/>
      <c r="V230" s="198"/>
      <c r="W230" s="198"/>
      <c r="X230" s="198"/>
      <c r="Y230" s="198"/>
      <c r="Z230" s="198"/>
      <c r="AA230" s="198"/>
      <c r="AB230" s="198"/>
      <c r="AC230" s="198"/>
      <c r="AD230" s="198"/>
      <c r="AE230" s="198"/>
      <c r="AF230" s="198"/>
      <c r="AG230" s="198"/>
      <c r="AH230" s="198"/>
      <c r="AI230" s="198"/>
      <c r="AJ230" s="198"/>
      <c r="AK230" s="198"/>
      <c r="AL230" s="198"/>
      <c r="AM230" s="198"/>
      <c r="AN230" s="198"/>
      <c r="AO230" s="198"/>
      <c r="AP230" s="198"/>
      <c r="AQ230" s="198"/>
      <c r="AR230" s="15">
        <f t="shared" si="6"/>
        <v>26</v>
      </c>
    </row>
    <row r="231" spans="1:44" ht="18.75" customHeight="1">
      <c r="A231" s="198"/>
      <c r="B231" s="198"/>
      <c r="C231" s="198"/>
      <c r="D231" s="198"/>
      <c r="E231" s="198"/>
      <c r="F231" s="198"/>
      <c r="G231" s="198"/>
      <c r="H231" s="198"/>
      <c r="I231" s="198"/>
      <c r="J231" s="198"/>
      <c r="K231" s="198"/>
      <c r="L231" s="198"/>
      <c r="M231" s="198"/>
      <c r="N231" s="198"/>
      <c r="O231" s="198"/>
      <c r="P231" s="198"/>
      <c r="Q231" s="198"/>
      <c r="R231" s="198"/>
      <c r="S231" s="198"/>
      <c r="T231" s="198"/>
      <c r="U231" s="198"/>
      <c r="V231" s="198"/>
      <c r="W231" s="198"/>
      <c r="X231" s="198"/>
      <c r="Y231" s="198"/>
      <c r="Z231" s="198"/>
      <c r="AA231" s="198"/>
      <c r="AB231" s="198"/>
      <c r="AC231" s="198"/>
      <c r="AD231" s="198"/>
      <c r="AE231" s="198"/>
      <c r="AF231" s="198"/>
      <c r="AG231" s="198"/>
      <c r="AH231" s="198"/>
      <c r="AI231" s="198"/>
      <c r="AJ231" s="198"/>
      <c r="AK231" s="198"/>
      <c r="AL231" s="198"/>
      <c r="AM231" s="198"/>
      <c r="AN231" s="198"/>
      <c r="AO231" s="198"/>
      <c r="AP231" s="198"/>
      <c r="AQ231" s="198"/>
      <c r="AR231" s="15">
        <f t="shared" si="6"/>
        <v>27</v>
      </c>
    </row>
    <row r="232" spans="1:44" ht="18.75" customHeight="1">
      <c r="A232" s="198"/>
      <c r="B232" s="198"/>
      <c r="C232" s="198"/>
      <c r="D232" s="198"/>
      <c r="E232" s="198"/>
      <c r="F232" s="198"/>
      <c r="G232" s="198"/>
      <c r="H232" s="198"/>
      <c r="I232" s="198"/>
      <c r="J232" s="198"/>
      <c r="K232" s="198"/>
      <c r="L232" s="198"/>
      <c r="M232" s="198"/>
      <c r="N232" s="198"/>
      <c r="O232" s="198"/>
      <c r="P232" s="198"/>
      <c r="Q232" s="198"/>
      <c r="R232" s="198"/>
      <c r="S232" s="198"/>
      <c r="T232" s="198"/>
      <c r="U232" s="198"/>
      <c r="V232" s="198"/>
      <c r="W232" s="198"/>
      <c r="X232" s="198"/>
      <c r="Y232" s="198"/>
      <c r="Z232" s="198"/>
      <c r="AA232" s="198"/>
      <c r="AB232" s="198"/>
      <c r="AC232" s="198"/>
      <c r="AD232" s="198"/>
      <c r="AE232" s="198"/>
      <c r="AF232" s="198"/>
      <c r="AG232" s="198"/>
      <c r="AH232" s="198"/>
      <c r="AI232" s="198"/>
      <c r="AJ232" s="198"/>
      <c r="AK232" s="198"/>
      <c r="AL232" s="198"/>
      <c r="AM232" s="198"/>
      <c r="AN232" s="198"/>
      <c r="AO232" s="198"/>
      <c r="AP232" s="198"/>
      <c r="AQ232" s="198"/>
      <c r="AR232" s="15">
        <f t="shared" si="6"/>
        <v>28</v>
      </c>
    </row>
    <row r="233" spans="1:44" ht="18.75" customHeight="1">
      <c r="A233" s="198"/>
      <c r="B233" s="198"/>
      <c r="C233" s="198"/>
      <c r="D233" s="198"/>
      <c r="E233" s="198"/>
      <c r="F233" s="198"/>
      <c r="G233" s="198"/>
      <c r="H233" s="198"/>
      <c r="I233" s="198"/>
      <c r="J233" s="198"/>
      <c r="K233" s="198"/>
      <c r="L233" s="198"/>
      <c r="M233" s="198"/>
      <c r="N233" s="198"/>
      <c r="O233" s="198"/>
      <c r="P233" s="198"/>
      <c r="Q233" s="198"/>
      <c r="R233" s="198"/>
      <c r="S233" s="198"/>
      <c r="T233" s="198"/>
      <c r="U233" s="198"/>
      <c r="V233" s="198"/>
      <c r="W233" s="198"/>
      <c r="X233" s="198"/>
      <c r="Y233" s="198"/>
      <c r="Z233" s="198"/>
      <c r="AA233" s="198"/>
      <c r="AB233" s="198"/>
      <c r="AC233" s="198"/>
      <c r="AD233" s="198"/>
      <c r="AE233" s="198"/>
      <c r="AF233" s="198"/>
      <c r="AG233" s="198"/>
      <c r="AH233" s="198"/>
      <c r="AI233" s="198"/>
      <c r="AJ233" s="198"/>
      <c r="AK233" s="198"/>
      <c r="AL233" s="198"/>
      <c r="AM233" s="198"/>
      <c r="AN233" s="198"/>
      <c r="AO233" s="198"/>
      <c r="AP233" s="198"/>
      <c r="AQ233" s="198"/>
      <c r="AR233" s="15">
        <f t="shared" si="6"/>
        <v>29</v>
      </c>
    </row>
    <row r="234" spans="1:44" ht="18.75" customHeight="1">
      <c r="A234" s="198"/>
      <c r="B234" s="198"/>
      <c r="C234" s="198"/>
      <c r="D234" s="198"/>
      <c r="E234" s="198"/>
      <c r="F234" s="198"/>
      <c r="G234" s="198"/>
      <c r="H234" s="198"/>
      <c r="I234" s="198"/>
      <c r="J234" s="198"/>
      <c r="K234" s="198"/>
      <c r="L234" s="198"/>
      <c r="M234" s="198"/>
      <c r="N234" s="198"/>
      <c r="O234" s="198"/>
      <c r="P234" s="198"/>
      <c r="Q234" s="198"/>
      <c r="R234" s="198"/>
      <c r="S234" s="198"/>
      <c r="T234" s="198"/>
      <c r="U234" s="198"/>
      <c r="V234" s="198"/>
      <c r="W234" s="198"/>
      <c r="X234" s="198"/>
      <c r="Y234" s="198"/>
      <c r="Z234" s="198"/>
      <c r="AA234" s="198"/>
      <c r="AB234" s="198"/>
      <c r="AC234" s="198"/>
      <c r="AD234" s="198"/>
      <c r="AE234" s="198"/>
      <c r="AF234" s="198"/>
      <c r="AG234" s="198"/>
      <c r="AH234" s="198"/>
      <c r="AI234" s="198"/>
      <c r="AJ234" s="198"/>
      <c r="AK234" s="198"/>
      <c r="AL234" s="198"/>
      <c r="AM234" s="198"/>
      <c r="AN234" s="198"/>
      <c r="AO234" s="198"/>
      <c r="AP234" s="198"/>
      <c r="AQ234" s="198"/>
      <c r="AR234" s="15">
        <f t="shared" si="6"/>
        <v>30</v>
      </c>
    </row>
    <row r="235" spans="1:44" ht="18.75" customHeight="1">
      <c r="A235" s="198"/>
      <c r="B235" s="198"/>
      <c r="C235" s="198"/>
      <c r="D235" s="198"/>
      <c r="E235" s="198"/>
      <c r="F235" s="198"/>
      <c r="G235" s="198"/>
      <c r="H235" s="198"/>
      <c r="I235" s="198"/>
      <c r="J235" s="198"/>
      <c r="K235" s="198"/>
      <c r="L235" s="198"/>
      <c r="M235" s="198"/>
      <c r="N235" s="198"/>
      <c r="O235" s="198"/>
      <c r="P235" s="198"/>
      <c r="Q235" s="198"/>
      <c r="R235" s="198"/>
      <c r="S235" s="198"/>
      <c r="T235" s="198"/>
      <c r="U235" s="198"/>
      <c r="V235" s="198"/>
      <c r="W235" s="198"/>
      <c r="X235" s="198"/>
      <c r="Y235" s="198"/>
      <c r="Z235" s="198"/>
      <c r="AA235" s="198"/>
      <c r="AB235" s="198"/>
      <c r="AC235" s="198"/>
      <c r="AD235" s="198"/>
      <c r="AE235" s="198"/>
      <c r="AF235" s="198"/>
      <c r="AG235" s="198"/>
      <c r="AH235" s="198"/>
      <c r="AI235" s="198"/>
      <c r="AJ235" s="198"/>
      <c r="AK235" s="198"/>
      <c r="AL235" s="198"/>
      <c r="AM235" s="198"/>
      <c r="AN235" s="198"/>
      <c r="AO235" s="198"/>
      <c r="AP235" s="198"/>
      <c r="AQ235" s="198"/>
      <c r="AR235" s="15">
        <f t="shared" si="6"/>
        <v>31</v>
      </c>
    </row>
    <row r="236" spans="1:44" ht="18.75" customHeight="1">
      <c r="A236" s="198"/>
      <c r="B236" s="198"/>
      <c r="C236" s="198"/>
      <c r="D236" s="198"/>
      <c r="E236" s="198"/>
      <c r="F236" s="198"/>
      <c r="G236" s="198"/>
      <c r="H236" s="198"/>
      <c r="I236" s="198"/>
      <c r="J236" s="198"/>
      <c r="K236" s="198"/>
      <c r="L236" s="198"/>
      <c r="M236" s="198"/>
      <c r="N236" s="198"/>
      <c r="O236" s="198"/>
      <c r="P236" s="198"/>
      <c r="Q236" s="198"/>
      <c r="R236" s="198"/>
      <c r="S236" s="198"/>
      <c r="T236" s="198"/>
      <c r="U236" s="198"/>
      <c r="V236" s="198"/>
      <c r="W236" s="198"/>
      <c r="X236" s="198"/>
      <c r="Y236" s="198"/>
      <c r="Z236" s="198"/>
      <c r="AA236" s="198"/>
      <c r="AB236" s="198"/>
      <c r="AC236" s="198"/>
      <c r="AD236" s="198"/>
      <c r="AE236" s="198"/>
      <c r="AF236" s="198"/>
      <c r="AG236" s="198"/>
      <c r="AH236" s="198"/>
      <c r="AI236" s="198"/>
      <c r="AJ236" s="198"/>
      <c r="AK236" s="198"/>
      <c r="AL236" s="198"/>
      <c r="AM236" s="198"/>
      <c r="AN236" s="198"/>
      <c r="AO236" s="198"/>
      <c r="AP236" s="198"/>
      <c r="AQ236" s="198"/>
      <c r="AR236" s="15">
        <f t="shared" si="6"/>
        <v>32</v>
      </c>
    </row>
    <row r="237" spans="1:44" ht="18.75" customHeight="1">
      <c r="A237" s="198"/>
      <c r="B237" s="198"/>
      <c r="C237" s="198"/>
      <c r="D237" s="198"/>
      <c r="E237" s="198"/>
      <c r="F237" s="198"/>
      <c r="G237" s="198"/>
      <c r="H237" s="198"/>
      <c r="I237" s="198"/>
      <c r="J237" s="198"/>
      <c r="K237" s="198"/>
      <c r="L237" s="198"/>
      <c r="M237" s="198"/>
      <c r="N237" s="198"/>
      <c r="O237" s="198"/>
      <c r="P237" s="198"/>
      <c r="Q237" s="198"/>
      <c r="R237" s="198"/>
      <c r="S237" s="198"/>
      <c r="T237" s="198"/>
      <c r="U237" s="198"/>
      <c r="V237" s="198"/>
      <c r="W237" s="198"/>
      <c r="X237" s="198"/>
      <c r="Y237" s="198"/>
      <c r="Z237" s="198"/>
      <c r="AA237" s="198"/>
      <c r="AB237" s="198"/>
      <c r="AC237" s="198"/>
      <c r="AD237" s="198"/>
      <c r="AE237" s="198"/>
      <c r="AF237" s="198"/>
      <c r="AG237" s="198"/>
      <c r="AH237" s="198"/>
      <c r="AI237" s="198"/>
      <c r="AJ237" s="198"/>
      <c r="AK237" s="198"/>
      <c r="AL237" s="198"/>
      <c r="AM237" s="198"/>
      <c r="AN237" s="198"/>
      <c r="AO237" s="198"/>
      <c r="AP237" s="198"/>
      <c r="AQ237" s="198"/>
      <c r="AR237" s="15">
        <f t="shared" si="6"/>
        <v>33</v>
      </c>
    </row>
    <row r="238" spans="1:44" ht="18.75" customHeight="1">
      <c r="A238" s="198"/>
      <c r="B238" s="198"/>
      <c r="C238" s="198"/>
      <c r="D238" s="198"/>
      <c r="E238" s="198"/>
      <c r="F238" s="198"/>
      <c r="G238" s="198"/>
      <c r="H238" s="198"/>
      <c r="I238" s="198"/>
      <c r="J238" s="198"/>
      <c r="K238" s="198"/>
      <c r="L238" s="198"/>
      <c r="M238" s="198"/>
      <c r="N238" s="198"/>
      <c r="O238" s="198"/>
      <c r="P238" s="198"/>
      <c r="Q238" s="198"/>
      <c r="R238" s="198"/>
      <c r="S238" s="198"/>
      <c r="T238" s="198"/>
      <c r="U238" s="198"/>
      <c r="V238" s="198"/>
      <c r="W238" s="198"/>
      <c r="X238" s="198"/>
      <c r="Y238" s="198"/>
      <c r="Z238" s="198"/>
      <c r="AA238" s="198"/>
      <c r="AB238" s="198"/>
      <c r="AC238" s="198"/>
      <c r="AD238" s="198"/>
      <c r="AE238" s="198"/>
      <c r="AF238" s="198"/>
      <c r="AG238" s="198"/>
      <c r="AH238" s="198"/>
      <c r="AI238" s="198"/>
      <c r="AJ238" s="198"/>
      <c r="AK238" s="198"/>
      <c r="AL238" s="198"/>
      <c r="AM238" s="198"/>
      <c r="AN238" s="198"/>
      <c r="AO238" s="198"/>
      <c r="AP238" s="198"/>
      <c r="AQ238" s="198"/>
      <c r="AR238" s="15">
        <f t="shared" si="6"/>
        <v>34</v>
      </c>
    </row>
    <row r="239" spans="1:44" ht="16.5" customHeight="1">
      <c r="A239" s="197"/>
      <c r="B239" s="197"/>
      <c r="AI239" s="200" t="str">
        <f>'1'!$AI$1</f>
        <v>R4健障障第100号</v>
      </c>
      <c r="AJ239" s="200"/>
      <c r="AK239" s="200"/>
      <c r="AL239" s="200"/>
      <c r="AM239" s="200"/>
      <c r="AN239" s="200"/>
      <c r="AO239" s="200"/>
      <c r="AP239" s="200"/>
      <c r="AQ239" s="200"/>
      <c r="AR239" s="15">
        <v>1</v>
      </c>
    </row>
    <row r="240" spans="1:44" ht="16.5" customHeight="1">
      <c r="A240" s="197"/>
      <c r="B240" s="197"/>
      <c r="AI240" s="201">
        <f>'1'!$AI$2</f>
        <v>44677</v>
      </c>
      <c r="AJ240" s="201"/>
      <c r="AK240" s="201"/>
      <c r="AL240" s="201"/>
      <c r="AM240" s="201"/>
      <c r="AN240" s="201"/>
      <c r="AO240" s="201"/>
      <c r="AP240" s="201"/>
      <c r="AQ240" s="201"/>
      <c r="AR240" s="15">
        <f>AR239+1</f>
        <v>2</v>
      </c>
    </row>
    <row r="241" spans="1:48" ht="18.75" customHeight="1">
      <c r="A241" s="198"/>
      <c r="B241" s="198"/>
      <c r="C241" s="198"/>
      <c r="D241" s="198"/>
      <c r="E241" s="198"/>
      <c r="F241" s="198"/>
      <c r="G241" s="198"/>
      <c r="H241" s="198"/>
      <c r="I241" s="198"/>
      <c r="J241" s="198"/>
      <c r="K241" s="198"/>
      <c r="L241" s="198"/>
      <c r="M241" s="198"/>
      <c r="N241" s="198"/>
      <c r="O241" s="198"/>
      <c r="P241" s="198"/>
      <c r="Q241" s="198"/>
      <c r="R241" s="198"/>
      <c r="S241" s="198"/>
      <c r="T241" s="198"/>
      <c r="U241" s="198"/>
      <c r="V241" s="198"/>
      <c r="W241" s="198"/>
      <c r="X241" s="198"/>
      <c r="Y241" s="198"/>
      <c r="Z241" s="198"/>
      <c r="AA241" s="198"/>
      <c r="AB241" s="198"/>
      <c r="AC241" s="198"/>
      <c r="AD241" s="198"/>
      <c r="AE241" s="198"/>
      <c r="AF241" s="198"/>
      <c r="AG241" s="198"/>
      <c r="AH241" s="198"/>
      <c r="AI241" s="198"/>
      <c r="AJ241" s="198"/>
      <c r="AK241" s="198"/>
      <c r="AL241" s="198"/>
      <c r="AM241" s="198"/>
      <c r="AN241" s="198"/>
      <c r="AO241" s="198"/>
      <c r="AP241" s="198"/>
      <c r="AQ241" s="198"/>
      <c r="AR241" s="15">
        <f t="shared" ref="AR241:AR272" si="7">AR240+1</f>
        <v>3</v>
      </c>
    </row>
    <row r="242" spans="1:48" ht="18.75" customHeight="1">
      <c r="A242" s="199" t="str">
        <f>INDEX(送付先一覧!A:O,MATCH(AV242,送付先一覧!A:A,0),4)</f>
        <v>株式会社ミツイ</v>
      </c>
      <c r="B242" s="199"/>
      <c r="C242" s="199"/>
      <c r="D242" s="199"/>
      <c r="E242" s="199"/>
      <c r="F242" s="199"/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/>
      <c r="S242" s="199"/>
      <c r="T242" s="199"/>
      <c r="U242" s="199"/>
      <c r="V242" s="199"/>
      <c r="W242" s="199"/>
      <c r="X242" s="199"/>
      <c r="Y242" s="199"/>
      <c r="Z242" s="199"/>
      <c r="AA242" s="199"/>
      <c r="AB242" s="199"/>
      <c r="AC242" s="199"/>
      <c r="AD242" s="199"/>
      <c r="AE242" s="199"/>
      <c r="AF242" s="199"/>
      <c r="AG242" s="199"/>
      <c r="AH242" s="199"/>
      <c r="AI242" s="199"/>
      <c r="AJ242" s="199"/>
      <c r="AK242" s="199"/>
      <c r="AL242" s="199"/>
      <c r="AM242" s="199"/>
      <c r="AN242" s="199"/>
      <c r="AO242" s="199"/>
      <c r="AP242" s="199"/>
      <c r="AQ242" s="199"/>
      <c r="AR242" s="15">
        <f t="shared" si="7"/>
        <v>4</v>
      </c>
      <c r="AV242" s="65">
        <f>AV208+1</f>
        <v>14</v>
      </c>
    </row>
    <row r="243" spans="1:48" ht="18.75" customHeight="1">
      <c r="A243" s="202" t="str">
        <f>INDEX(送付先一覧!A:O,MATCH(AV242,送付先一覧!A:A,0),5)</f>
        <v>代表取締役社長　金沢　和樹</v>
      </c>
      <c r="B243" s="202"/>
      <c r="C243" s="202"/>
      <c r="D243" s="202"/>
      <c r="E243" s="202"/>
      <c r="F243" s="202"/>
      <c r="G243" s="202"/>
      <c r="H243" s="202"/>
      <c r="I243" s="202"/>
      <c r="J243" s="202"/>
      <c r="K243" s="202"/>
      <c r="L243" s="202"/>
      <c r="M243" s="202"/>
      <c r="N243" s="202"/>
      <c r="O243" s="202"/>
      <c r="P243" s="202"/>
      <c r="Q243" s="202"/>
      <c r="R243" s="202"/>
      <c r="S243" s="202"/>
      <c r="T243" s="202"/>
      <c r="U243" s="202"/>
      <c r="V243" s="202"/>
      <c r="W243" s="202"/>
      <c r="X243" s="202"/>
      <c r="Y243" s="202"/>
      <c r="Z243" s="202"/>
      <c r="AA243" s="202"/>
      <c r="AB243" s="202"/>
      <c r="AC243" s="202"/>
      <c r="AD243" s="202"/>
      <c r="AE243" s="202"/>
      <c r="AF243" s="202"/>
      <c r="AG243" s="202"/>
      <c r="AH243" s="202"/>
      <c r="AI243" s="202"/>
      <c r="AJ243" s="202"/>
      <c r="AK243" s="202"/>
      <c r="AL243" s="202"/>
      <c r="AM243" s="202"/>
      <c r="AN243" s="202"/>
      <c r="AO243" s="202"/>
      <c r="AP243" s="202"/>
      <c r="AQ243" s="202"/>
      <c r="AR243" s="15">
        <f t="shared" si="7"/>
        <v>5</v>
      </c>
    </row>
    <row r="244" spans="1:48" ht="18.75" customHeight="1">
      <c r="A244" s="198"/>
      <c r="B244" s="198"/>
      <c r="C244" s="198"/>
      <c r="D244" s="198"/>
      <c r="E244" s="198"/>
      <c r="F244" s="198"/>
      <c r="G244" s="198"/>
      <c r="H244" s="198"/>
      <c r="I244" s="198"/>
      <c r="J244" s="198"/>
      <c r="K244" s="198"/>
      <c r="L244" s="198"/>
      <c r="M244" s="198"/>
      <c r="N244" s="198"/>
      <c r="O244" s="198"/>
      <c r="P244" s="198"/>
      <c r="Q244" s="198"/>
      <c r="R244" s="198"/>
      <c r="S244" s="198"/>
      <c r="T244" s="198"/>
      <c r="U244" s="198"/>
      <c r="V244" s="198"/>
      <c r="W244" s="198"/>
      <c r="X244" s="198"/>
      <c r="Y244" s="198"/>
      <c r="Z244" s="198"/>
      <c r="AA244" s="198"/>
      <c r="AB244" s="198"/>
      <c r="AC244" s="198"/>
      <c r="AD244" s="198"/>
      <c r="AE244" s="198"/>
      <c r="AF244" s="198"/>
      <c r="AG244" s="198"/>
      <c r="AH244" s="198"/>
      <c r="AI244" s="198"/>
      <c r="AJ244" s="198"/>
      <c r="AK244" s="198"/>
      <c r="AL244" s="198"/>
      <c r="AM244" s="198"/>
      <c r="AN244" s="198"/>
      <c r="AO244" s="198"/>
      <c r="AP244" s="198"/>
      <c r="AQ244" s="198"/>
      <c r="AR244" s="15">
        <f t="shared" si="7"/>
        <v>6</v>
      </c>
    </row>
    <row r="245" spans="1:48" ht="18.75" customHeight="1">
      <c r="V245" s="199" t="str">
        <f>'1'!$V$7</f>
        <v>仙台市健康福祉局障害福祉部障害企画課長　　</v>
      </c>
      <c r="W245" s="199"/>
      <c r="X245" s="199"/>
      <c r="Y245" s="199"/>
      <c r="Z245" s="199"/>
      <c r="AA245" s="199"/>
      <c r="AB245" s="199"/>
      <c r="AC245" s="199"/>
      <c r="AD245" s="199"/>
      <c r="AE245" s="199"/>
      <c r="AF245" s="199"/>
      <c r="AG245" s="199"/>
      <c r="AH245" s="199"/>
      <c r="AI245" s="199"/>
      <c r="AJ245" s="199"/>
      <c r="AK245" s="199"/>
      <c r="AL245" s="199"/>
      <c r="AM245" s="199"/>
      <c r="AN245" s="199"/>
      <c r="AO245" s="199"/>
      <c r="AP245" s="199"/>
      <c r="AQ245" s="199"/>
      <c r="AR245" s="15">
        <f t="shared" si="7"/>
        <v>7</v>
      </c>
    </row>
    <row r="246" spans="1:48" ht="18.75" customHeight="1">
      <c r="V246" s="199" t="str">
        <f>'1'!$V$8</f>
        <v>仙台市健康福祉局障害福祉部障害者支援課長　</v>
      </c>
      <c r="W246" s="199"/>
      <c r="X246" s="199"/>
      <c r="Y246" s="199"/>
      <c r="Z246" s="199"/>
      <c r="AA246" s="199"/>
      <c r="AB246" s="199"/>
      <c r="AC246" s="199"/>
      <c r="AD246" s="199"/>
      <c r="AE246" s="199"/>
      <c r="AF246" s="199"/>
      <c r="AG246" s="199"/>
      <c r="AH246" s="199"/>
      <c r="AI246" s="199"/>
      <c r="AJ246" s="199"/>
      <c r="AK246" s="199"/>
      <c r="AL246" s="199"/>
      <c r="AM246" s="199"/>
      <c r="AN246" s="199"/>
      <c r="AO246" s="199"/>
      <c r="AP246" s="199"/>
      <c r="AQ246" s="199"/>
      <c r="AR246" s="15">
        <f t="shared" si="7"/>
        <v>8</v>
      </c>
    </row>
    <row r="247" spans="1:48" ht="18.75" customHeight="1">
      <c r="A247" s="198"/>
      <c r="B247" s="198"/>
      <c r="C247" s="198"/>
      <c r="D247" s="198"/>
      <c r="E247" s="198"/>
      <c r="F247" s="198"/>
      <c r="G247" s="198"/>
      <c r="H247" s="198"/>
      <c r="I247" s="198"/>
      <c r="J247" s="198"/>
      <c r="K247" s="198"/>
      <c r="L247" s="198"/>
      <c r="M247" s="198"/>
      <c r="N247" s="198"/>
      <c r="O247" s="198"/>
      <c r="P247" s="198"/>
      <c r="Q247" s="198"/>
      <c r="R247" s="198"/>
      <c r="S247" s="198"/>
      <c r="T247" s="198"/>
      <c r="U247" s="198"/>
      <c r="V247" s="198"/>
      <c r="W247" s="198"/>
      <c r="X247" s="198"/>
      <c r="Y247" s="198"/>
      <c r="Z247" s="198"/>
      <c r="AA247" s="198"/>
      <c r="AB247" s="198"/>
      <c r="AC247" s="198"/>
      <c r="AD247" s="198"/>
      <c r="AE247" s="198"/>
      <c r="AF247" s="198"/>
      <c r="AG247" s="198"/>
      <c r="AH247" s="198"/>
      <c r="AI247" s="198"/>
      <c r="AJ247" s="198"/>
      <c r="AK247" s="198"/>
      <c r="AL247" s="198"/>
      <c r="AM247" s="198"/>
      <c r="AN247" s="198"/>
      <c r="AO247" s="198"/>
      <c r="AP247" s="198"/>
      <c r="AQ247" s="198"/>
      <c r="AR247" s="15">
        <f t="shared" si="7"/>
        <v>9</v>
      </c>
    </row>
    <row r="248" spans="1:48" ht="22.5" customHeight="1">
      <c r="A248" s="203" t="str">
        <f>'1'!$A$10</f>
        <v>令和４年度仙台市障害福祉分野のICT導入モデル事業補助金の内示について</v>
      </c>
      <c r="B248" s="203"/>
      <c r="C248" s="203"/>
      <c r="D248" s="203"/>
      <c r="E248" s="203"/>
      <c r="F248" s="203"/>
      <c r="G248" s="203"/>
      <c r="H248" s="203"/>
      <c r="I248" s="203"/>
      <c r="J248" s="203"/>
      <c r="K248" s="203"/>
      <c r="L248" s="203"/>
      <c r="M248" s="203"/>
      <c r="N248" s="203"/>
      <c r="O248" s="203"/>
      <c r="P248" s="203"/>
      <c r="Q248" s="203"/>
      <c r="R248" s="203"/>
      <c r="S248" s="203"/>
      <c r="T248" s="203"/>
      <c r="U248" s="203"/>
      <c r="V248" s="203"/>
      <c r="W248" s="203"/>
      <c r="X248" s="203"/>
      <c r="Y248" s="203"/>
      <c r="Z248" s="203"/>
      <c r="AA248" s="203"/>
      <c r="AB248" s="203"/>
      <c r="AC248" s="203"/>
      <c r="AD248" s="203"/>
      <c r="AE248" s="203"/>
      <c r="AF248" s="203"/>
      <c r="AG248" s="203"/>
      <c r="AH248" s="203"/>
      <c r="AI248" s="203"/>
      <c r="AJ248" s="203"/>
      <c r="AK248" s="203"/>
      <c r="AL248" s="203"/>
      <c r="AM248" s="203"/>
      <c r="AN248" s="203"/>
      <c r="AO248" s="203"/>
      <c r="AP248" s="203"/>
      <c r="AQ248" s="203"/>
      <c r="AR248" s="15">
        <f t="shared" si="7"/>
        <v>10</v>
      </c>
    </row>
    <row r="249" spans="1:48" ht="18.75" customHeight="1">
      <c r="A249" s="198"/>
      <c r="B249" s="198"/>
      <c r="C249" s="198"/>
      <c r="D249" s="198"/>
      <c r="E249" s="198"/>
      <c r="F249" s="198"/>
      <c r="G249" s="198"/>
      <c r="H249" s="198"/>
      <c r="I249" s="198"/>
      <c r="J249" s="198"/>
      <c r="K249" s="198"/>
      <c r="L249" s="198"/>
      <c r="M249" s="198"/>
      <c r="N249" s="198"/>
      <c r="O249" s="198"/>
      <c r="P249" s="198"/>
      <c r="Q249" s="198"/>
      <c r="R249" s="198"/>
      <c r="S249" s="198"/>
      <c r="T249" s="198"/>
      <c r="U249" s="198"/>
      <c r="V249" s="198"/>
      <c r="W249" s="198"/>
      <c r="X249" s="198"/>
      <c r="Y249" s="198"/>
      <c r="Z249" s="198"/>
      <c r="AA249" s="198"/>
      <c r="AB249" s="198"/>
      <c r="AC249" s="198"/>
      <c r="AD249" s="198"/>
      <c r="AE249" s="198"/>
      <c r="AF249" s="198"/>
      <c r="AG249" s="198"/>
      <c r="AH249" s="198"/>
      <c r="AI249" s="198"/>
      <c r="AJ249" s="198"/>
      <c r="AK249" s="198"/>
      <c r="AL249" s="198"/>
      <c r="AM249" s="198"/>
      <c r="AN249" s="198"/>
      <c r="AO249" s="198"/>
      <c r="AP249" s="198"/>
      <c r="AQ249" s="198"/>
      <c r="AR249" s="15">
        <f t="shared" si="7"/>
        <v>11</v>
      </c>
    </row>
    <row r="250" spans="1:48" ht="93.75" customHeight="1">
      <c r="A250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250" s="205"/>
      <c r="C250" s="205"/>
      <c r="D250" s="205"/>
      <c r="E250" s="205"/>
      <c r="F250" s="205"/>
      <c r="G250" s="205"/>
      <c r="H250" s="205"/>
      <c r="I250" s="205"/>
      <c r="J250" s="205"/>
      <c r="K250" s="205"/>
      <c r="L250" s="205"/>
      <c r="M250" s="205"/>
      <c r="N250" s="205"/>
      <c r="O250" s="205"/>
      <c r="P250" s="205"/>
      <c r="Q250" s="205"/>
      <c r="R250" s="205"/>
      <c r="S250" s="205"/>
      <c r="T250" s="205"/>
      <c r="U250" s="205"/>
      <c r="V250" s="205"/>
      <c r="W250" s="205"/>
      <c r="X250" s="205"/>
      <c r="Y250" s="205"/>
      <c r="Z250" s="205"/>
      <c r="AA250" s="205"/>
      <c r="AB250" s="205"/>
      <c r="AC250" s="205"/>
      <c r="AD250" s="205"/>
      <c r="AE250" s="205"/>
      <c r="AF250" s="205"/>
      <c r="AG250" s="205"/>
      <c r="AH250" s="205"/>
      <c r="AI250" s="205"/>
      <c r="AJ250" s="205"/>
      <c r="AK250" s="205"/>
      <c r="AL250" s="205"/>
      <c r="AM250" s="205"/>
      <c r="AN250" s="205"/>
      <c r="AO250" s="205"/>
      <c r="AP250" s="205"/>
      <c r="AQ250" s="205"/>
      <c r="AR250" s="15">
        <f t="shared" si="7"/>
        <v>12</v>
      </c>
    </row>
    <row r="251" spans="1:48" ht="18.75" customHeight="1">
      <c r="A251" s="198"/>
      <c r="B251" s="198"/>
      <c r="C251" s="198"/>
      <c r="D251" s="198"/>
      <c r="E251" s="198"/>
      <c r="F251" s="198"/>
      <c r="G251" s="198"/>
      <c r="H251" s="198"/>
      <c r="I251" s="198"/>
      <c r="J251" s="198"/>
      <c r="K251" s="198"/>
      <c r="L251" s="198"/>
      <c r="M251" s="198"/>
      <c r="N251" s="198"/>
      <c r="O251" s="198"/>
      <c r="P251" s="198"/>
      <c r="Q251" s="198"/>
      <c r="R251" s="198"/>
      <c r="S251" s="198"/>
      <c r="T251" s="198"/>
      <c r="U251" s="198"/>
      <c r="V251" s="198"/>
      <c r="W251" s="198"/>
      <c r="X251" s="198"/>
      <c r="Y251" s="198"/>
      <c r="Z251" s="198"/>
      <c r="AA251" s="198"/>
      <c r="AB251" s="198"/>
      <c r="AC251" s="198"/>
      <c r="AD251" s="198"/>
      <c r="AE251" s="198"/>
      <c r="AF251" s="198"/>
      <c r="AG251" s="198"/>
      <c r="AH251" s="198"/>
      <c r="AI251" s="198"/>
      <c r="AJ251" s="198"/>
      <c r="AK251" s="198"/>
      <c r="AL251" s="198"/>
      <c r="AM251" s="198"/>
      <c r="AN251" s="198"/>
      <c r="AO251" s="198"/>
      <c r="AP251" s="198"/>
      <c r="AQ251" s="198"/>
      <c r="AR251" s="15">
        <f t="shared" si="7"/>
        <v>13</v>
      </c>
    </row>
    <row r="252" spans="1:48" ht="18.75" customHeight="1">
      <c r="A252" s="197" t="str">
        <f>'1'!$A$14</f>
        <v>記</v>
      </c>
      <c r="B252" s="197"/>
      <c r="C252" s="197"/>
      <c r="D252" s="197"/>
      <c r="E252" s="197"/>
      <c r="F252" s="197"/>
      <c r="G252" s="197"/>
      <c r="H252" s="197"/>
      <c r="I252" s="197"/>
      <c r="J252" s="197"/>
      <c r="K252" s="197"/>
      <c r="L252" s="197"/>
      <c r="M252" s="197"/>
      <c r="N252" s="197"/>
      <c r="O252" s="197"/>
      <c r="P252" s="197"/>
      <c r="Q252" s="197"/>
      <c r="R252" s="197"/>
      <c r="S252" s="197"/>
      <c r="T252" s="197"/>
      <c r="U252" s="197"/>
      <c r="V252" s="197"/>
      <c r="W252" s="197"/>
      <c r="X252" s="197"/>
      <c r="Y252" s="197"/>
      <c r="Z252" s="197"/>
      <c r="AA252" s="197"/>
      <c r="AB252" s="197"/>
      <c r="AC252" s="197"/>
      <c r="AD252" s="197"/>
      <c r="AE252" s="197"/>
      <c r="AF252" s="197"/>
      <c r="AG252" s="197"/>
      <c r="AH252" s="197"/>
      <c r="AI252" s="197"/>
      <c r="AJ252" s="197"/>
      <c r="AK252" s="197"/>
      <c r="AL252" s="197"/>
      <c r="AM252" s="197"/>
      <c r="AN252" s="197"/>
      <c r="AO252" s="197"/>
      <c r="AP252" s="197"/>
      <c r="AQ252" s="197"/>
      <c r="AR252" s="15">
        <f t="shared" si="7"/>
        <v>14</v>
      </c>
    </row>
    <row r="253" spans="1:48" ht="18.75" customHeight="1">
      <c r="A253" s="198"/>
      <c r="B253" s="198"/>
      <c r="C253" s="198"/>
      <c r="D253" s="198"/>
      <c r="E253" s="198"/>
      <c r="F253" s="198"/>
      <c r="G253" s="198"/>
      <c r="H253" s="198"/>
      <c r="I253" s="198"/>
      <c r="J253" s="198"/>
      <c r="K253" s="198"/>
      <c r="L253" s="198"/>
      <c r="M253" s="198"/>
      <c r="N253" s="198"/>
      <c r="O253" s="198"/>
      <c r="P253" s="198"/>
      <c r="Q253" s="198"/>
      <c r="R253" s="198"/>
      <c r="S253" s="198"/>
      <c r="T253" s="198"/>
      <c r="U253" s="198"/>
      <c r="V253" s="198"/>
      <c r="W253" s="198"/>
      <c r="X253" s="198"/>
      <c r="Y253" s="198"/>
      <c r="Z253" s="198"/>
      <c r="AA253" s="198"/>
      <c r="AB253" s="198"/>
      <c r="AC253" s="198"/>
      <c r="AD253" s="198"/>
      <c r="AE253" s="198"/>
      <c r="AF253" s="198"/>
      <c r="AG253" s="198"/>
      <c r="AH253" s="198"/>
      <c r="AI253" s="198"/>
      <c r="AJ253" s="198"/>
      <c r="AK253" s="198"/>
      <c r="AL253" s="198"/>
      <c r="AM253" s="198"/>
      <c r="AN253" s="198"/>
      <c r="AO253" s="198"/>
      <c r="AP253" s="198"/>
      <c r="AQ253" s="198"/>
      <c r="AR253" s="15">
        <f t="shared" si="7"/>
        <v>15</v>
      </c>
    </row>
    <row r="254" spans="1:48" ht="18.75" customHeight="1">
      <c r="I254" s="199" t="str">
        <f>'1'!$I$16</f>
        <v>補助内示額</v>
      </c>
      <c r="J254" s="199"/>
      <c r="K254" s="199"/>
      <c r="L254" s="199"/>
      <c r="M254" s="199"/>
      <c r="N254" s="199"/>
      <c r="S254" s="206">
        <f>INDEX(送付先一覧!A:O,MATCH(AV242,送付先一覧!A:A,0),12)</f>
        <v>666000</v>
      </c>
      <c r="T254" s="206"/>
      <c r="U254" s="206"/>
      <c r="V254" s="206"/>
      <c r="W254" s="206"/>
      <c r="X254" s="206"/>
      <c r="Y254" s="206"/>
      <c r="Z254" s="206"/>
      <c r="AA254" s="206"/>
      <c r="AB254" s="206"/>
      <c r="AC254" s="206"/>
      <c r="AD254" s="206"/>
      <c r="AE254" s="206"/>
      <c r="AF254" s="199"/>
      <c r="AG254" s="199"/>
      <c r="AH254" s="199"/>
      <c r="AI254" s="199"/>
      <c r="AR254" s="15">
        <f t="shared" si="7"/>
        <v>16</v>
      </c>
    </row>
    <row r="255" spans="1:48" ht="18.75" customHeight="1">
      <c r="I255" s="199" t="str">
        <f>'1'!$I$17</f>
        <v>事業種別</v>
      </c>
      <c r="J255" s="199"/>
      <c r="K255" s="199"/>
      <c r="L255" s="199"/>
      <c r="M255" s="199"/>
      <c r="N255" s="199"/>
      <c r="O255" s="199"/>
      <c r="P255" s="199"/>
      <c r="Q255" s="199"/>
      <c r="R255" s="199"/>
      <c r="S255" s="199" t="str">
        <f>INDEX(送付先一覧!A:O,MATCH(AV242,送付先一覧!A:A,0),9)</f>
        <v>放課後等デイサービス</v>
      </c>
      <c r="T255" s="199"/>
      <c r="U255" s="199"/>
      <c r="V255" s="199"/>
      <c r="W255" s="199"/>
      <c r="X255" s="199"/>
      <c r="Y255" s="199"/>
      <c r="Z255" s="199"/>
      <c r="AA255" s="199"/>
      <c r="AB255" s="199"/>
      <c r="AC255" s="199"/>
      <c r="AD255" s="199"/>
      <c r="AE255" s="199"/>
      <c r="AF255" s="199"/>
      <c r="AG255" s="199"/>
      <c r="AH255" s="199"/>
      <c r="AI255" s="199"/>
      <c r="AJ255" s="199"/>
      <c r="AK255" s="199"/>
      <c r="AL255" s="199"/>
      <c r="AM255" s="199"/>
      <c r="AN255" s="199"/>
      <c r="AO255" s="199"/>
      <c r="AP255" s="199"/>
      <c r="AR255" s="15">
        <f t="shared" si="7"/>
        <v>17</v>
      </c>
    </row>
    <row r="256" spans="1:48" ht="18.75" customHeight="1">
      <c r="I256" s="199" t="str">
        <f>'1'!$I$18</f>
        <v>事業所名</v>
      </c>
      <c r="J256" s="199"/>
      <c r="K256" s="199"/>
      <c r="L256" s="199"/>
      <c r="M256" s="199"/>
      <c r="N256" s="199"/>
      <c r="O256" s="199"/>
      <c r="P256" s="199"/>
      <c r="Q256" s="199"/>
      <c r="R256" s="199"/>
      <c r="S256" s="204" t="str">
        <f>INDEX(送付先一覧!A:O,MATCH(AV242,送付先一覧!A:A,0),8)</f>
        <v>リッキー柳生</v>
      </c>
      <c r="T256" s="204"/>
      <c r="U256" s="204"/>
      <c r="V256" s="204"/>
      <c r="W256" s="204"/>
      <c r="X256" s="204"/>
      <c r="Y256" s="204"/>
      <c r="Z256" s="204"/>
      <c r="AA256" s="204"/>
      <c r="AB256" s="204"/>
      <c r="AC256" s="204"/>
      <c r="AD256" s="204"/>
      <c r="AE256" s="204"/>
      <c r="AF256" s="204"/>
      <c r="AG256" s="204"/>
      <c r="AH256" s="204"/>
      <c r="AI256" s="204"/>
      <c r="AJ256" s="204"/>
      <c r="AK256" s="204"/>
      <c r="AL256" s="204"/>
      <c r="AM256" s="204"/>
      <c r="AN256" s="204"/>
      <c r="AO256" s="204"/>
      <c r="AP256" s="204"/>
      <c r="AQ256" s="204"/>
      <c r="AR256" s="15">
        <f t="shared" si="7"/>
        <v>18</v>
      </c>
    </row>
    <row r="257" spans="1:44" ht="18.75" customHeight="1">
      <c r="I257" s="198"/>
      <c r="J257" s="198"/>
      <c r="K257" s="198"/>
      <c r="L257" s="198"/>
      <c r="M257" s="198"/>
      <c r="N257" s="198"/>
      <c r="O257" s="198"/>
      <c r="P257" s="198"/>
      <c r="Q257" s="198"/>
      <c r="R257" s="198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66"/>
      <c r="AN257" s="66"/>
      <c r="AO257" s="66"/>
      <c r="AP257" s="66"/>
      <c r="AQ257" s="66"/>
      <c r="AR257" s="15">
        <f t="shared" si="7"/>
        <v>19</v>
      </c>
    </row>
    <row r="258" spans="1:44" ht="18.75" customHeight="1">
      <c r="I258" s="198"/>
      <c r="J258" s="198"/>
      <c r="K258" s="198"/>
      <c r="L258" s="198"/>
      <c r="M258" s="198"/>
      <c r="N258" s="198"/>
      <c r="O258" s="198"/>
      <c r="P258" s="198"/>
      <c r="Q258" s="198"/>
      <c r="R258" s="198"/>
      <c r="S258" s="198"/>
      <c r="T258" s="198"/>
      <c r="U258" s="198"/>
      <c r="V258" s="198"/>
      <c r="W258" s="198"/>
      <c r="X258" s="198"/>
      <c r="Y258" s="198"/>
      <c r="Z258" s="198"/>
      <c r="AA258" s="198"/>
      <c r="AB258" s="198"/>
      <c r="AC258" s="198"/>
      <c r="AD258" s="198"/>
      <c r="AE258" s="198"/>
      <c r="AF258" s="198"/>
      <c r="AG258" s="198"/>
      <c r="AH258" s="198"/>
      <c r="AI258" s="198"/>
      <c r="AR258" s="15">
        <f t="shared" si="7"/>
        <v>20</v>
      </c>
    </row>
    <row r="259" spans="1:44" ht="18.75" customHeight="1">
      <c r="A259" s="198"/>
      <c r="B259" s="198"/>
      <c r="C259" s="198"/>
      <c r="D259" s="198"/>
      <c r="E259" s="198"/>
      <c r="F259" s="198"/>
      <c r="G259" s="198"/>
      <c r="H259" s="198"/>
      <c r="I259" s="198"/>
      <c r="J259" s="198"/>
      <c r="K259" s="198"/>
      <c r="L259" s="198"/>
      <c r="M259" s="198"/>
      <c r="N259" s="198"/>
      <c r="O259" s="198"/>
      <c r="P259" s="198"/>
      <c r="Q259" s="198"/>
      <c r="R259" s="198"/>
      <c r="S259" s="198"/>
      <c r="T259" s="198"/>
      <c r="U259" s="198"/>
      <c r="V259" s="198"/>
      <c r="W259" s="198"/>
      <c r="X259" s="198"/>
      <c r="Y259" s="198"/>
      <c r="Z259" s="198"/>
      <c r="AA259" s="198"/>
      <c r="AB259" s="198"/>
      <c r="AC259" s="198"/>
      <c r="AD259" s="198"/>
      <c r="AE259" s="198"/>
      <c r="AF259" s="198"/>
      <c r="AG259" s="198"/>
      <c r="AH259" s="198"/>
      <c r="AI259" s="198"/>
      <c r="AJ259" s="198"/>
      <c r="AK259" s="198"/>
      <c r="AL259" s="198"/>
      <c r="AM259" s="198"/>
      <c r="AN259" s="198"/>
      <c r="AO259" s="198"/>
      <c r="AP259" s="198"/>
      <c r="AQ259" s="198"/>
      <c r="AR259" s="15">
        <f t="shared" si="7"/>
        <v>21</v>
      </c>
    </row>
    <row r="260" spans="1:44" ht="18.75" customHeight="1">
      <c r="A260" s="198"/>
      <c r="B260" s="198"/>
      <c r="C260" s="198"/>
      <c r="D260" s="198"/>
      <c r="E260" s="198"/>
      <c r="F260" s="198"/>
      <c r="G260" s="198"/>
      <c r="H260" s="198"/>
      <c r="I260" s="198"/>
      <c r="J260" s="198"/>
      <c r="K260" s="198"/>
      <c r="L260" s="198"/>
      <c r="M260" s="198"/>
      <c r="N260" s="198"/>
      <c r="O260" s="198"/>
      <c r="P260" s="198"/>
      <c r="Q260" s="198"/>
      <c r="R260" s="198"/>
      <c r="S260" s="198"/>
      <c r="T260" s="198"/>
      <c r="U260" s="198"/>
      <c r="V260" s="198"/>
      <c r="W260" s="198"/>
      <c r="X260" s="198"/>
      <c r="Y260" s="198"/>
      <c r="Z260" s="198"/>
      <c r="AA260" s="198"/>
      <c r="AB260" s="198"/>
      <c r="AC260" s="198"/>
      <c r="AD260" s="198"/>
      <c r="AE260" s="198"/>
      <c r="AF260" s="198"/>
      <c r="AG260" s="198"/>
      <c r="AH260" s="198"/>
      <c r="AI260" s="198"/>
      <c r="AJ260" s="198"/>
      <c r="AK260" s="198"/>
      <c r="AL260" s="198"/>
      <c r="AM260" s="198"/>
      <c r="AN260" s="198"/>
      <c r="AO260" s="198"/>
      <c r="AP260" s="198"/>
      <c r="AQ260" s="198"/>
      <c r="AR260" s="15">
        <f t="shared" si="7"/>
        <v>22</v>
      </c>
    </row>
    <row r="261" spans="1:44" ht="18.75" customHeight="1">
      <c r="A261" s="198"/>
      <c r="B261" s="198"/>
      <c r="C261" s="198"/>
      <c r="D261" s="198"/>
      <c r="E261" s="198"/>
      <c r="F261" s="198"/>
      <c r="G261" s="198"/>
      <c r="H261" s="198"/>
      <c r="I261" s="198"/>
      <c r="J261" s="198"/>
      <c r="K261" s="198"/>
      <c r="L261" s="198"/>
      <c r="M261" s="198"/>
      <c r="N261" s="198"/>
      <c r="O261" s="198"/>
      <c r="P261" s="198"/>
      <c r="Q261" s="198"/>
      <c r="R261" s="198"/>
      <c r="S261" s="198"/>
      <c r="T261" s="198"/>
      <c r="U261" s="198"/>
      <c r="V261" s="198"/>
      <c r="W261" s="198"/>
      <c r="X261" s="198"/>
      <c r="Y261" s="198"/>
      <c r="Z261" s="198"/>
      <c r="AA261" s="198"/>
      <c r="AB261" s="198"/>
      <c r="AC261" s="198"/>
      <c r="AD261" s="198"/>
      <c r="AE261" s="198"/>
      <c r="AF261" s="198"/>
      <c r="AG261" s="198"/>
      <c r="AH261" s="198"/>
      <c r="AI261" s="198"/>
      <c r="AJ261" s="198"/>
      <c r="AK261" s="198"/>
      <c r="AL261" s="198"/>
      <c r="AM261" s="198"/>
      <c r="AN261" s="198"/>
      <c r="AO261" s="198"/>
      <c r="AP261" s="198"/>
      <c r="AQ261" s="198"/>
      <c r="AR261" s="15">
        <f t="shared" si="7"/>
        <v>23</v>
      </c>
    </row>
    <row r="262" spans="1:44" ht="18.75" customHeight="1">
      <c r="A262" s="198"/>
      <c r="B262" s="198"/>
      <c r="C262" s="198"/>
      <c r="D262" s="198"/>
      <c r="E262" s="198"/>
      <c r="F262" s="198"/>
      <c r="G262" s="198"/>
      <c r="H262" s="198"/>
      <c r="I262" s="198"/>
      <c r="J262" s="198"/>
      <c r="K262" s="198"/>
      <c r="L262" s="198"/>
      <c r="M262" s="198"/>
      <c r="N262" s="198"/>
      <c r="O262" s="198"/>
      <c r="P262" s="198"/>
      <c r="Q262" s="198"/>
      <c r="R262" s="198"/>
      <c r="S262" s="198"/>
      <c r="T262" s="198"/>
      <c r="U262" s="198"/>
      <c r="V262" s="198"/>
      <c r="W262" s="198"/>
      <c r="X262" s="198"/>
      <c r="Y262" s="198"/>
      <c r="Z262" s="198"/>
      <c r="AA262" s="198"/>
      <c r="AB262" s="198"/>
      <c r="AC262" s="198"/>
      <c r="AD262" s="198"/>
      <c r="AE262" s="198"/>
      <c r="AF262" s="198"/>
      <c r="AG262" s="198"/>
      <c r="AH262" s="198"/>
      <c r="AI262" s="198"/>
      <c r="AJ262" s="198"/>
      <c r="AK262" s="198"/>
      <c r="AL262" s="198"/>
      <c r="AM262" s="198"/>
      <c r="AN262" s="198"/>
      <c r="AO262" s="198"/>
      <c r="AP262" s="198"/>
      <c r="AQ262" s="198"/>
      <c r="AR262" s="15">
        <f t="shared" si="7"/>
        <v>24</v>
      </c>
    </row>
    <row r="263" spans="1:44" ht="18.75" customHeight="1">
      <c r="A263" s="198"/>
      <c r="B263" s="198"/>
      <c r="C263" s="198"/>
      <c r="D263" s="198"/>
      <c r="E263" s="198"/>
      <c r="F263" s="198"/>
      <c r="G263" s="198"/>
      <c r="H263" s="198"/>
      <c r="I263" s="198"/>
      <c r="J263" s="198"/>
      <c r="K263" s="198"/>
      <c r="L263" s="198"/>
      <c r="M263" s="198"/>
      <c r="N263" s="198"/>
      <c r="O263" s="198"/>
      <c r="P263" s="198"/>
      <c r="Q263" s="198"/>
      <c r="R263" s="198"/>
      <c r="S263" s="198"/>
      <c r="T263" s="198"/>
      <c r="U263" s="198"/>
      <c r="V263" s="198"/>
      <c r="W263" s="198"/>
      <c r="X263" s="198"/>
      <c r="Y263" s="198"/>
      <c r="Z263" s="198"/>
      <c r="AA263" s="198"/>
      <c r="AB263" s="198"/>
      <c r="AC263" s="198"/>
      <c r="AD263" s="198"/>
      <c r="AE263" s="198"/>
      <c r="AF263" s="198"/>
      <c r="AG263" s="198"/>
      <c r="AH263" s="198"/>
      <c r="AI263" s="198"/>
      <c r="AJ263" s="198"/>
      <c r="AK263" s="198"/>
      <c r="AL263" s="198"/>
      <c r="AM263" s="198"/>
      <c r="AN263" s="198"/>
      <c r="AO263" s="198"/>
      <c r="AP263" s="198"/>
      <c r="AQ263" s="198"/>
      <c r="AR263" s="15">
        <f t="shared" si="7"/>
        <v>25</v>
      </c>
    </row>
    <row r="264" spans="1:44" ht="18.75" customHeight="1">
      <c r="A264" s="198"/>
      <c r="B264" s="198"/>
      <c r="C264" s="198"/>
      <c r="D264" s="198"/>
      <c r="E264" s="198"/>
      <c r="F264" s="198"/>
      <c r="G264" s="198"/>
      <c r="H264" s="198"/>
      <c r="I264" s="198"/>
      <c r="J264" s="198"/>
      <c r="K264" s="198"/>
      <c r="L264" s="198"/>
      <c r="M264" s="198"/>
      <c r="N264" s="198"/>
      <c r="O264" s="198"/>
      <c r="P264" s="198"/>
      <c r="Q264" s="198"/>
      <c r="R264" s="198"/>
      <c r="S264" s="198"/>
      <c r="T264" s="198"/>
      <c r="U264" s="198"/>
      <c r="V264" s="198"/>
      <c r="W264" s="198"/>
      <c r="X264" s="198"/>
      <c r="Y264" s="198"/>
      <c r="Z264" s="198"/>
      <c r="AA264" s="198"/>
      <c r="AB264" s="198"/>
      <c r="AC264" s="198"/>
      <c r="AD264" s="198"/>
      <c r="AE264" s="198"/>
      <c r="AF264" s="198"/>
      <c r="AG264" s="198"/>
      <c r="AH264" s="198"/>
      <c r="AI264" s="198"/>
      <c r="AJ264" s="198"/>
      <c r="AK264" s="198"/>
      <c r="AL264" s="198"/>
      <c r="AM264" s="198"/>
      <c r="AN264" s="198"/>
      <c r="AO264" s="198"/>
      <c r="AP264" s="198"/>
      <c r="AQ264" s="198"/>
      <c r="AR264" s="15">
        <f t="shared" si="7"/>
        <v>26</v>
      </c>
    </row>
    <row r="265" spans="1:44" ht="18.75" customHeight="1">
      <c r="A265" s="198"/>
      <c r="B265" s="198"/>
      <c r="C265" s="198"/>
      <c r="D265" s="198"/>
      <c r="E265" s="198"/>
      <c r="F265" s="198"/>
      <c r="G265" s="198"/>
      <c r="H265" s="198"/>
      <c r="I265" s="198"/>
      <c r="J265" s="198"/>
      <c r="K265" s="198"/>
      <c r="L265" s="198"/>
      <c r="M265" s="198"/>
      <c r="N265" s="198"/>
      <c r="O265" s="198"/>
      <c r="P265" s="198"/>
      <c r="Q265" s="198"/>
      <c r="R265" s="198"/>
      <c r="S265" s="198"/>
      <c r="T265" s="198"/>
      <c r="U265" s="198"/>
      <c r="V265" s="198"/>
      <c r="W265" s="198"/>
      <c r="X265" s="198"/>
      <c r="Y265" s="198"/>
      <c r="Z265" s="198"/>
      <c r="AA265" s="198"/>
      <c r="AB265" s="198"/>
      <c r="AC265" s="198"/>
      <c r="AD265" s="198"/>
      <c r="AE265" s="198"/>
      <c r="AF265" s="198"/>
      <c r="AG265" s="198"/>
      <c r="AH265" s="198"/>
      <c r="AI265" s="198"/>
      <c r="AJ265" s="198"/>
      <c r="AK265" s="198"/>
      <c r="AL265" s="198"/>
      <c r="AM265" s="198"/>
      <c r="AN265" s="198"/>
      <c r="AO265" s="198"/>
      <c r="AP265" s="198"/>
      <c r="AQ265" s="198"/>
      <c r="AR265" s="15">
        <f t="shared" si="7"/>
        <v>27</v>
      </c>
    </row>
    <row r="266" spans="1:44" ht="18.75" customHeight="1">
      <c r="A266" s="198"/>
      <c r="B266" s="198"/>
      <c r="C266" s="198"/>
      <c r="D266" s="198"/>
      <c r="E266" s="198"/>
      <c r="F266" s="198"/>
      <c r="G266" s="198"/>
      <c r="H266" s="198"/>
      <c r="I266" s="198"/>
      <c r="J266" s="198"/>
      <c r="K266" s="198"/>
      <c r="L266" s="198"/>
      <c r="M266" s="198"/>
      <c r="N266" s="198"/>
      <c r="O266" s="198"/>
      <c r="P266" s="198"/>
      <c r="Q266" s="198"/>
      <c r="R266" s="198"/>
      <c r="S266" s="198"/>
      <c r="T266" s="198"/>
      <c r="U266" s="198"/>
      <c r="V266" s="198"/>
      <c r="W266" s="198"/>
      <c r="X266" s="198"/>
      <c r="Y266" s="198"/>
      <c r="Z266" s="198"/>
      <c r="AA266" s="198"/>
      <c r="AB266" s="198"/>
      <c r="AC266" s="198"/>
      <c r="AD266" s="198"/>
      <c r="AE266" s="198"/>
      <c r="AF266" s="198"/>
      <c r="AG266" s="198"/>
      <c r="AH266" s="198"/>
      <c r="AI266" s="198"/>
      <c r="AJ266" s="198"/>
      <c r="AK266" s="198"/>
      <c r="AL266" s="198"/>
      <c r="AM266" s="198"/>
      <c r="AN266" s="198"/>
      <c r="AO266" s="198"/>
      <c r="AP266" s="198"/>
      <c r="AQ266" s="198"/>
      <c r="AR266" s="15">
        <f t="shared" si="7"/>
        <v>28</v>
      </c>
    </row>
    <row r="267" spans="1:44" ht="18.75" customHeight="1">
      <c r="A267" s="198"/>
      <c r="B267" s="198"/>
      <c r="C267" s="198"/>
      <c r="D267" s="198"/>
      <c r="E267" s="198"/>
      <c r="F267" s="198"/>
      <c r="G267" s="198"/>
      <c r="H267" s="198"/>
      <c r="I267" s="198"/>
      <c r="J267" s="198"/>
      <c r="K267" s="198"/>
      <c r="L267" s="198"/>
      <c r="M267" s="198"/>
      <c r="N267" s="198"/>
      <c r="O267" s="198"/>
      <c r="P267" s="198"/>
      <c r="Q267" s="198"/>
      <c r="R267" s="198"/>
      <c r="S267" s="198"/>
      <c r="T267" s="198"/>
      <c r="U267" s="198"/>
      <c r="V267" s="198"/>
      <c r="W267" s="198"/>
      <c r="X267" s="198"/>
      <c r="Y267" s="198"/>
      <c r="Z267" s="198"/>
      <c r="AA267" s="198"/>
      <c r="AB267" s="198"/>
      <c r="AC267" s="198"/>
      <c r="AD267" s="198"/>
      <c r="AE267" s="198"/>
      <c r="AF267" s="198"/>
      <c r="AG267" s="198"/>
      <c r="AH267" s="198"/>
      <c r="AI267" s="198"/>
      <c r="AJ267" s="198"/>
      <c r="AK267" s="198"/>
      <c r="AL267" s="198"/>
      <c r="AM267" s="198"/>
      <c r="AN267" s="198"/>
      <c r="AO267" s="198"/>
      <c r="AP267" s="198"/>
      <c r="AQ267" s="198"/>
      <c r="AR267" s="15">
        <f t="shared" si="7"/>
        <v>29</v>
      </c>
    </row>
    <row r="268" spans="1:44" ht="18.75" customHeight="1">
      <c r="A268" s="198"/>
      <c r="B268" s="198"/>
      <c r="C268" s="198"/>
      <c r="D268" s="198"/>
      <c r="E268" s="198"/>
      <c r="F268" s="198"/>
      <c r="G268" s="198"/>
      <c r="H268" s="198"/>
      <c r="I268" s="198"/>
      <c r="J268" s="198"/>
      <c r="K268" s="198"/>
      <c r="L268" s="198"/>
      <c r="M268" s="198"/>
      <c r="N268" s="198"/>
      <c r="O268" s="198"/>
      <c r="P268" s="198"/>
      <c r="Q268" s="198"/>
      <c r="R268" s="198"/>
      <c r="S268" s="198"/>
      <c r="T268" s="198"/>
      <c r="U268" s="198"/>
      <c r="V268" s="198"/>
      <c r="W268" s="198"/>
      <c r="X268" s="198"/>
      <c r="Y268" s="198"/>
      <c r="Z268" s="198"/>
      <c r="AA268" s="198"/>
      <c r="AB268" s="198"/>
      <c r="AC268" s="198"/>
      <c r="AD268" s="198"/>
      <c r="AE268" s="198"/>
      <c r="AF268" s="198"/>
      <c r="AG268" s="198"/>
      <c r="AH268" s="198"/>
      <c r="AI268" s="198"/>
      <c r="AJ268" s="198"/>
      <c r="AK268" s="198"/>
      <c r="AL268" s="198"/>
      <c r="AM268" s="198"/>
      <c r="AN268" s="198"/>
      <c r="AO268" s="198"/>
      <c r="AP268" s="198"/>
      <c r="AQ268" s="198"/>
      <c r="AR268" s="15">
        <f t="shared" si="7"/>
        <v>30</v>
      </c>
    </row>
    <row r="269" spans="1:44" ht="18.75" customHeight="1">
      <c r="A269" s="198"/>
      <c r="B269" s="198"/>
      <c r="C269" s="198"/>
      <c r="D269" s="198"/>
      <c r="E269" s="198"/>
      <c r="F269" s="198"/>
      <c r="G269" s="198"/>
      <c r="H269" s="198"/>
      <c r="I269" s="198"/>
      <c r="J269" s="198"/>
      <c r="K269" s="198"/>
      <c r="L269" s="198"/>
      <c r="M269" s="198"/>
      <c r="N269" s="198"/>
      <c r="O269" s="198"/>
      <c r="P269" s="198"/>
      <c r="Q269" s="198"/>
      <c r="R269" s="198"/>
      <c r="S269" s="198"/>
      <c r="T269" s="198"/>
      <c r="U269" s="198"/>
      <c r="V269" s="198"/>
      <c r="W269" s="198"/>
      <c r="X269" s="198"/>
      <c r="Y269" s="198"/>
      <c r="Z269" s="198"/>
      <c r="AA269" s="198"/>
      <c r="AB269" s="198"/>
      <c r="AC269" s="198"/>
      <c r="AD269" s="198"/>
      <c r="AE269" s="198"/>
      <c r="AF269" s="198"/>
      <c r="AG269" s="198"/>
      <c r="AH269" s="198"/>
      <c r="AI269" s="198"/>
      <c r="AJ269" s="198"/>
      <c r="AK269" s="198"/>
      <c r="AL269" s="198"/>
      <c r="AM269" s="198"/>
      <c r="AN269" s="198"/>
      <c r="AO269" s="198"/>
      <c r="AP269" s="198"/>
      <c r="AQ269" s="198"/>
      <c r="AR269" s="15">
        <f t="shared" si="7"/>
        <v>31</v>
      </c>
    </row>
    <row r="270" spans="1:44" ht="18.75" customHeight="1">
      <c r="A270" s="198"/>
      <c r="B270" s="198"/>
      <c r="C270" s="198"/>
      <c r="D270" s="198"/>
      <c r="E270" s="198"/>
      <c r="F270" s="198"/>
      <c r="G270" s="198"/>
      <c r="H270" s="198"/>
      <c r="I270" s="198"/>
      <c r="J270" s="198"/>
      <c r="K270" s="198"/>
      <c r="L270" s="198"/>
      <c r="M270" s="198"/>
      <c r="N270" s="198"/>
      <c r="O270" s="198"/>
      <c r="P270" s="198"/>
      <c r="Q270" s="198"/>
      <c r="R270" s="198"/>
      <c r="S270" s="198"/>
      <c r="T270" s="198"/>
      <c r="U270" s="198"/>
      <c r="V270" s="198"/>
      <c r="W270" s="198"/>
      <c r="X270" s="198"/>
      <c r="Y270" s="198"/>
      <c r="Z270" s="198"/>
      <c r="AA270" s="198"/>
      <c r="AB270" s="198"/>
      <c r="AC270" s="198"/>
      <c r="AD270" s="198"/>
      <c r="AE270" s="198"/>
      <c r="AF270" s="198"/>
      <c r="AG270" s="198"/>
      <c r="AH270" s="198"/>
      <c r="AI270" s="198"/>
      <c r="AJ270" s="198"/>
      <c r="AK270" s="198"/>
      <c r="AL270" s="198"/>
      <c r="AM270" s="198"/>
      <c r="AN270" s="198"/>
      <c r="AO270" s="198"/>
      <c r="AP270" s="198"/>
      <c r="AQ270" s="198"/>
      <c r="AR270" s="15">
        <f t="shared" si="7"/>
        <v>32</v>
      </c>
    </row>
    <row r="271" spans="1:44" ht="18.75" customHeight="1">
      <c r="A271" s="198"/>
      <c r="B271" s="198"/>
      <c r="C271" s="198"/>
      <c r="D271" s="198"/>
      <c r="E271" s="198"/>
      <c r="F271" s="198"/>
      <c r="G271" s="198"/>
      <c r="H271" s="198"/>
      <c r="I271" s="198"/>
      <c r="J271" s="198"/>
      <c r="K271" s="198"/>
      <c r="L271" s="198"/>
      <c r="M271" s="198"/>
      <c r="N271" s="198"/>
      <c r="O271" s="198"/>
      <c r="P271" s="198"/>
      <c r="Q271" s="198"/>
      <c r="R271" s="198"/>
      <c r="S271" s="198"/>
      <c r="T271" s="198"/>
      <c r="U271" s="198"/>
      <c r="V271" s="198"/>
      <c r="W271" s="198"/>
      <c r="X271" s="198"/>
      <c r="Y271" s="198"/>
      <c r="Z271" s="198"/>
      <c r="AA271" s="198"/>
      <c r="AB271" s="198"/>
      <c r="AC271" s="198"/>
      <c r="AD271" s="198"/>
      <c r="AE271" s="198"/>
      <c r="AF271" s="198"/>
      <c r="AG271" s="198"/>
      <c r="AH271" s="198"/>
      <c r="AI271" s="198"/>
      <c r="AJ271" s="198"/>
      <c r="AK271" s="198"/>
      <c r="AL271" s="198"/>
      <c r="AM271" s="198"/>
      <c r="AN271" s="198"/>
      <c r="AO271" s="198"/>
      <c r="AP271" s="198"/>
      <c r="AQ271" s="198"/>
      <c r="AR271" s="15">
        <f t="shared" si="7"/>
        <v>33</v>
      </c>
    </row>
    <row r="272" spans="1:44" ht="18.75" customHeight="1">
      <c r="A272" s="198"/>
      <c r="B272" s="198"/>
      <c r="C272" s="198"/>
      <c r="D272" s="198"/>
      <c r="E272" s="198"/>
      <c r="F272" s="198"/>
      <c r="G272" s="198"/>
      <c r="H272" s="198"/>
      <c r="I272" s="198"/>
      <c r="J272" s="198"/>
      <c r="K272" s="198"/>
      <c r="L272" s="198"/>
      <c r="M272" s="198"/>
      <c r="N272" s="198"/>
      <c r="O272" s="198"/>
      <c r="P272" s="198"/>
      <c r="Q272" s="198"/>
      <c r="R272" s="198"/>
      <c r="S272" s="198"/>
      <c r="T272" s="198"/>
      <c r="U272" s="198"/>
      <c r="V272" s="198"/>
      <c r="W272" s="198"/>
      <c r="X272" s="198"/>
      <c r="Y272" s="198"/>
      <c r="Z272" s="198"/>
      <c r="AA272" s="198"/>
      <c r="AB272" s="198"/>
      <c r="AC272" s="198"/>
      <c r="AD272" s="198"/>
      <c r="AE272" s="198"/>
      <c r="AF272" s="198"/>
      <c r="AG272" s="198"/>
      <c r="AH272" s="198"/>
      <c r="AI272" s="198"/>
      <c r="AJ272" s="198"/>
      <c r="AK272" s="198"/>
      <c r="AL272" s="198"/>
      <c r="AM272" s="198"/>
      <c r="AN272" s="198"/>
      <c r="AO272" s="198"/>
      <c r="AP272" s="198"/>
      <c r="AQ272" s="198"/>
      <c r="AR272" s="15">
        <f t="shared" si="7"/>
        <v>34</v>
      </c>
    </row>
    <row r="273" spans="1:48" ht="16.5" customHeight="1">
      <c r="A273" s="197"/>
      <c r="B273" s="197"/>
      <c r="AI273" s="200" t="str">
        <f>'1'!$AI$1</f>
        <v>R4健障障第100号</v>
      </c>
      <c r="AJ273" s="200"/>
      <c r="AK273" s="200"/>
      <c r="AL273" s="200"/>
      <c r="AM273" s="200"/>
      <c r="AN273" s="200"/>
      <c r="AO273" s="200"/>
      <c r="AP273" s="200"/>
      <c r="AQ273" s="200"/>
      <c r="AR273" s="15">
        <v>1</v>
      </c>
    </row>
    <row r="274" spans="1:48" ht="16.5" customHeight="1">
      <c r="A274" s="197"/>
      <c r="B274" s="197"/>
      <c r="AI274" s="201">
        <f>'1'!$AI$2</f>
        <v>44677</v>
      </c>
      <c r="AJ274" s="201"/>
      <c r="AK274" s="201"/>
      <c r="AL274" s="201"/>
      <c r="AM274" s="201"/>
      <c r="AN274" s="201"/>
      <c r="AO274" s="201"/>
      <c r="AP274" s="201"/>
      <c r="AQ274" s="201"/>
      <c r="AR274" s="15">
        <f>AR273+1</f>
        <v>2</v>
      </c>
    </row>
    <row r="275" spans="1:48" ht="18.75" customHeight="1">
      <c r="A275" s="198"/>
      <c r="B275" s="198"/>
      <c r="C275" s="198"/>
      <c r="D275" s="198"/>
      <c r="E275" s="198"/>
      <c r="F275" s="198"/>
      <c r="G275" s="198"/>
      <c r="H275" s="198"/>
      <c r="I275" s="198"/>
      <c r="J275" s="198"/>
      <c r="K275" s="198"/>
      <c r="L275" s="198"/>
      <c r="M275" s="198"/>
      <c r="N275" s="198"/>
      <c r="O275" s="198"/>
      <c r="P275" s="198"/>
      <c r="Q275" s="198"/>
      <c r="R275" s="198"/>
      <c r="S275" s="198"/>
      <c r="T275" s="198"/>
      <c r="U275" s="198"/>
      <c r="V275" s="198"/>
      <c r="W275" s="198"/>
      <c r="X275" s="198"/>
      <c r="Y275" s="198"/>
      <c r="Z275" s="198"/>
      <c r="AA275" s="198"/>
      <c r="AB275" s="198"/>
      <c r="AC275" s="198"/>
      <c r="AD275" s="198"/>
      <c r="AE275" s="198"/>
      <c r="AF275" s="198"/>
      <c r="AG275" s="198"/>
      <c r="AH275" s="198"/>
      <c r="AI275" s="198"/>
      <c r="AJ275" s="198"/>
      <c r="AK275" s="198"/>
      <c r="AL275" s="198"/>
      <c r="AM275" s="198"/>
      <c r="AN275" s="198"/>
      <c r="AO275" s="198"/>
      <c r="AP275" s="198"/>
      <c r="AQ275" s="198"/>
      <c r="AR275" s="15">
        <f t="shared" ref="AR275:AR306" si="8">AR274+1</f>
        <v>3</v>
      </c>
    </row>
    <row r="276" spans="1:48" ht="18.75" customHeight="1">
      <c r="A276" s="199" t="str">
        <f>INDEX(送付先一覧!A:O,MATCH(AV276,送付先一覧!A:A,0),4)</f>
        <v>株式会社ミツイ</v>
      </c>
      <c r="B276" s="199"/>
      <c r="C276" s="199"/>
      <c r="D276" s="199"/>
      <c r="E276" s="199"/>
      <c r="F276" s="199"/>
      <c r="G276" s="199"/>
      <c r="H276" s="199"/>
      <c r="I276" s="199"/>
      <c r="J276" s="199"/>
      <c r="K276" s="199"/>
      <c r="L276" s="199"/>
      <c r="M276" s="199"/>
      <c r="N276" s="199"/>
      <c r="O276" s="199"/>
      <c r="P276" s="199"/>
      <c r="Q276" s="199"/>
      <c r="R276" s="199"/>
      <c r="S276" s="199"/>
      <c r="T276" s="199"/>
      <c r="U276" s="199"/>
      <c r="V276" s="199"/>
      <c r="W276" s="199"/>
      <c r="X276" s="199"/>
      <c r="Y276" s="199"/>
      <c r="Z276" s="199"/>
      <c r="AA276" s="199"/>
      <c r="AB276" s="199"/>
      <c r="AC276" s="199"/>
      <c r="AD276" s="199"/>
      <c r="AE276" s="199"/>
      <c r="AF276" s="199"/>
      <c r="AG276" s="199"/>
      <c r="AH276" s="199"/>
      <c r="AI276" s="199"/>
      <c r="AJ276" s="199"/>
      <c r="AK276" s="199"/>
      <c r="AL276" s="199"/>
      <c r="AM276" s="199"/>
      <c r="AN276" s="199"/>
      <c r="AO276" s="199"/>
      <c r="AP276" s="199"/>
      <c r="AQ276" s="199"/>
      <c r="AR276" s="15">
        <f t="shared" si="8"/>
        <v>4</v>
      </c>
      <c r="AV276" s="65">
        <f>AV242+1</f>
        <v>15</v>
      </c>
    </row>
    <row r="277" spans="1:48" ht="18.75" customHeight="1">
      <c r="A277" s="202" t="str">
        <f>INDEX(送付先一覧!A:O,MATCH(AV276,送付先一覧!A:A,0),5)</f>
        <v>代表取締役社長　金沢　和樹</v>
      </c>
      <c r="B277" s="202"/>
      <c r="C277" s="202"/>
      <c r="D277" s="202"/>
      <c r="E277" s="202"/>
      <c r="F277" s="202"/>
      <c r="G277" s="202"/>
      <c r="H277" s="202"/>
      <c r="I277" s="202"/>
      <c r="J277" s="202"/>
      <c r="K277" s="202"/>
      <c r="L277" s="202"/>
      <c r="M277" s="202"/>
      <c r="N277" s="202"/>
      <c r="O277" s="202"/>
      <c r="P277" s="202"/>
      <c r="Q277" s="202"/>
      <c r="R277" s="202"/>
      <c r="S277" s="202"/>
      <c r="T277" s="202"/>
      <c r="U277" s="202"/>
      <c r="V277" s="202"/>
      <c r="W277" s="202"/>
      <c r="X277" s="202"/>
      <c r="Y277" s="202"/>
      <c r="Z277" s="202"/>
      <c r="AA277" s="202"/>
      <c r="AB277" s="202"/>
      <c r="AC277" s="202"/>
      <c r="AD277" s="202"/>
      <c r="AE277" s="202"/>
      <c r="AF277" s="202"/>
      <c r="AG277" s="202"/>
      <c r="AH277" s="202"/>
      <c r="AI277" s="202"/>
      <c r="AJ277" s="202"/>
      <c r="AK277" s="202"/>
      <c r="AL277" s="202"/>
      <c r="AM277" s="202"/>
      <c r="AN277" s="202"/>
      <c r="AO277" s="202"/>
      <c r="AP277" s="202"/>
      <c r="AQ277" s="202"/>
      <c r="AR277" s="15">
        <f t="shared" si="8"/>
        <v>5</v>
      </c>
    </row>
    <row r="278" spans="1:48" ht="18.75" customHeight="1">
      <c r="A278" s="198"/>
      <c r="B278" s="198"/>
      <c r="C278" s="198"/>
      <c r="D278" s="198"/>
      <c r="E278" s="198"/>
      <c r="F278" s="198"/>
      <c r="G278" s="198"/>
      <c r="H278" s="198"/>
      <c r="I278" s="198"/>
      <c r="J278" s="198"/>
      <c r="K278" s="198"/>
      <c r="L278" s="198"/>
      <c r="M278" s="198"/>
      <c r="N278" s="198"/>
      <c r="O278" s="198"/>
      <c r="P278" s="198"/>
      <c r="Q278" s="198"/>
      <c r="R278" s="198"/>
      <c r="S278" s="198"/>
      <c r="T278" s="198"/>
      <c r="U278" s="198"/>
      <c r="V278" s="198"/>
      <c r="W278" s="198"/>
      <c r="X278" s="198"/>
      <c r="Y278" s="198"/>
      <c r="Z278" s="198"/>
      <c r="AA278" s="198"/>
      <c r="AB278" s="198"/>
      <c r="AC278" s="198"/>
      <c r="AD278" s="198"/>
      <c r="AE278" s="198"/>
      <c r="AF278" s="198"/>
      <c r="AG278" s="198"/>
      <c r="AH278" s="198"/>
      <c r="AI278" s="198"/>
      <c r="AJ278" s="198"/>
      <c r="AK278" s="198"/>
      <c r="AL278" s="198"/>
      <c r="AM278" s="198"/>
      <c r="AN278" s="198"/>
      <c r="AO278" s="198"/>
      <c r="AP278" s="198"/>
      <c r="AQ278" s="198"/>
      <c r="AR278" s="15">
        <f t="shared" si="8"/>
        <v>6</v>
      </c>
    </row>
    <row r="279" spans="1:48" ht="18.75" customHeight="1">
      <c r="V279" s="199" t="str">
        <f>'1'!$V$7</f>
        <v>仙台市健康福祉局障害福祉部障害企画課長　　</v>
      </c>
      <c r="W279" s="199"/>
      <c r="X279" s="199"/>
      <c r="Y279" s="199"/>
      <c r="Z279" s="199"/>
      <c r="AA279" s="199"/>
      <c r="AB279" s="199"/>
      <c r="AC279" s="199"/>
      <c r="AD279" s="199"/>
      <c r="AE279" s="199"/>
      <c r="AF279" s="199"/>
      <c r="AG279" s="199"/>
      <c r="AH279" s="199"/>
      <c r="AI279" s="199"/>
      <c r="AJ279" s="199"/>
      <c r="AK279" s="199"/>
      <c r="AL279" s="199"/>
      <c r="AM279" s="199"/>
      <c r="AN279" s="199"/>
      <c r="AO279" s="199"/>
      <c r="AP279" s="199"/>
      <c r="AQ279" s="199"/>
      <c r="AR279" s="15">
        <f t="shared" si="8"/>
        <v>7</v>
      </c>
    </row>
    <row r="280" spans="1:48" ht="18.75" customHeight="1">
      <c r="V280" s="199" t="str">
        <f>'1'!$V$8</f>
        <v>仙台市健康福祉局障害福祉部障害者支援課長　</v>
      </c>
      <c r="W280" s="199"/>
      <c r="X280" s="199"/>
      <c r="Y280" s="199"/>
      <c r="Z280" s="199"/>
      <c r="AA280" s="199"/>
      <c r="AB280" s="199"/>
      <c r="AC280" s="199"/>
      <c r="AD280" s="199"/>
      <c r="AE280" s="199"/>
      <c r="AF280" s="199"/>
      <c r="AG280" s="199"/>
      <c r="AH280" s="199"/>
      <c r="AI280" s="199"/>
      <c r="AJ280" s="199"/>
      <c r="AK280" s="199"/>
      <c r="AL280" s="199"/>
      <c r="AM280" s="199"/>
      <c r="AN280" s="199"/>
      <c r="AO280" s="199"/>
      <c r="AP280" s="199"/>
      <c r="AQ280" s="199"/>
      <c r="AR280" s="15">
        <f t="shared" si="8"/>
        <v>8</v>
      </c>
    </row>
    <row r="281" spans="1:48" ht="18.75" customHeight="1">
      <c r="A281" s="198"/>
      <c r="B281" s="198"/>
      <c r="C281" s="198"/>
      <c r="D281" s="198"/>
      <c r="E281" s="198"/>
      <c r="F281" s="198"/>
      <c r="G281" s="198"/>
      <c r="H281" s="198"/>
      <c r="I281" s="198"/>
      <c r="J281" s="198"/>
      <c r="K281" s="198"/>
      <c r="L281" s="198"/>
      <c r="M281" s="198"/>
      <c r="N281" s="198"/>
      <c r="O281" s="198"/>
      <c r="P281" s="198"/>
      <c r="Q281" s="198"/>
      <c r="R281" s="198"/>
      <c r="S281" s="198"/>
      <c r="T281" s="198"/>
      <c r="U281" s="198"/>
      <c r="V281" s="198"/>
      <c r="W281" s="198"/>
      <c r="X281" s="198"/>
      <c r="Y281" s="198"/>
      <c r="Z281" s="198"/>
      <c r="AA281" s="198"/>
      <c r="AB281" s="198"/>
      <c r="AC281" s="198"/>
      <c r="AD281" s="198"/>
      <c r="AE281" s="198"/>
      <c r="AF281" s="198"/>
      <c r="AG281" s="198"/>
      <c r="AH281" s="198"/>
      <c r="AI281" s="198"/>
      <c r="AJ281" s="198"/>
      <c r="AK281" s="198"/>
      <c r="AL281" s="198"/>
      <c r="AM281" s="198"/>
      <c r="AN281" s="198"/>
      <c r="AO281" s="198"/>
      <c r="AP281" s="198"/>
      <c r="AQ281" s="198"/>
      <c r="AR281" s="15">
        <f t="shared" si="8"/>
        <v>9</v>
      </c>
    </row>
    <row r="282" spans="1:48" ht="22.5" customHeight="1">
      <c r="A282" s="203" t="str">
        <f>'1'!$A$10</f>
        <v>令和４年度仙台市障害福祉分野のICT導入モデル事業補助金の内示について</v>
      </c>
      <c r="B282" s="203"/>
      <c r="C282" s="203"/>
      <c r="D282" s="203"/>
      <c r="E282" s="203"/>
      <c r="F282" s="203"/>
      <c r="G282" s="203"/>
      <c r="H282" s="203"/>
      <c r="I282" s="203"/>
      <c r="J282" s="203"/>
      <c r="K282" s="203"/>
      <c r="L282" s="203"/>
      <c r="M282" s="203"/>
      <c r="N282" s="203"/>
      <c r="O282" s="203"/>
      <c r="P282" s="203"/>
      <c r="Q282" s="203"/>
      <c r="R282" s="203"/>
      <c r="S282" s="203"/>
      <c r="T282" s="203"/>
      <c r="U282" s="203"/>
      <c r="V282" s="203"/>
      <c r="W282" s="203"/>
      <c r="X282" s="203"/>
      <c r="Y282" s="203"/>
      <c r="Z282" s="203"/>
      <c r="AA282" s="203"/>
      <c r="AB282" s="203"/>
      <c r="AC282" s="203"/>
      <c r="AD282" s="203"/>
      <c r="AE282" s="203"/>
      <c r="AF282" s="203"/>
      <c r="AG282" s="203"/>
      <c r="AH282" s="203"/>
      <c r="AI282" s="203"/>
      <c r="AJ282" s="203"/>
      <c r="AK282" s="203"/>
      <c r="AL282" s="203"/>
      <c r="AM282" s="203"/>
      <c r="AN282" s="203"/>
      <c r="AO282" s="203"/>
      <c r="AP282" s="203"/>
      <c r="AQ282" s="203"/>
      <c r="AR282" s="15">
        <f t="shared" si="8"/>
        <v>10</v>
      </c>
    </row>
    <row r="283" spans="1:48" ht="18.75" customHeight="1">
      <c r="A283" s="198"/>
      <c r="B283" s="198"/>
      <c r="C283" s="198"/>
      <c r="D283" s="198"/>
      <c r="E283" s="198"/>
      <c r="F283" s="198"/>
      <c r="G283" s="198"/>
      <c r="H283" s="198"/>
      <c r="I283" s="198"/>
      <c r="J283" s="198"/>
      <c r="K283" s="198"/>
      <c r="L283" s="198"/>
      <c r="M283" s="198"/>
      <c r="N283" s="198"/>
      <c r="O283" s="198"/>
      <c r="P283" s="198"/>
      <c r="Q283" s="198"/>
      <c r="R283" s="198"/>
      <c r="S283" s="198"/>
      <c r="T283" s="198"/>
      <c r="U283" s="198"/>
      <c r="V283" s="198"/>
      <c r="W283" s="198"/>
      <c r="X283" s="198"/>
      <c r="Y283" s="198"/>
      <c r="Z283" s="198"/>
      <c r="AA283" s="198"/>
      <c r="AB283" s="198"/>
      <c r="AC283" s="198"/>
      <c r="AD283" s="198"/>
      <c r="AE283" s="198"/>
      <c r="AF283" s="198"/>
      <c r="AG283" s="198"/>
      <c r="AH283" s="198"/>
      <c r="AI283" s="198"/>
      <c r="AJ283" s="198"/>
      <c r="AK283" s="198"/>
      <c r="AL283" s="198"/>
      <c r="AM283" s="198"/>
      <c r="AN283" s="198"/>
      <c r="AO283" s="198"/>
      <c r="AP283" s="198"/>
      <c r="AQ283" s="198"/>
      <c r="AR283" s="15">
        <f t="shared" si="8"/>
        <v>11</v>
      </c>
    </row>
    <row r="284" spans="1:48" ht="93.75" customHeight="1">
      <c r="A284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284" s="205"/>
      <c r="C284" s="205"/>
      <c r="D284" s="205"/>
      <c r="E284" s="205"/>
      <c r="F284" s="205"/>
      <c r="G284" s="205"/>
      <c r="H284" s="205"/>
      <c r="I284" s="205"/>
      <c r="J284" s="205"/>
      <c r="K284" s="205"/>
      <c r="L284" s="205"/>
      <c r="M284" s="205"/>
      <c r="N284" s="205"/>
      <c r="O284" s="205"/>
      <c r="P284" s="205"/>
      <c r="Q284" s="205"/>
      <c r="R284" s="205"/>
      <c r="S284" s="205"/>
      <c r="T284" s="205"/>
      <c r="U284" s="205"/>
      <c r="V284" s="205"/>
      <c r="W284" s="205"/>
      <c r="X284" s="205"/>
      <c r="Y284" s="205"/>
      <c r="Z284" s="205"/>
      <c r="AA284" s="205"/>
      <c r="AB284" s="205"/>
      <c r="AC284" s="205"/>
      <c r="AD284" s="205"/>
      <c r="AE284" s="205"/>
      <c r="AF284" s="205"/>
      <c r="AG284" s="205"/>
      <c r="AH284" s="205"/>
      <c r="AI284" s="205"/>
      <c r="AJ284" s="205"/>
      <c r="AK284" s="205"/>
      <c r="AL284" s="205"/>
      <c r="AM284" s="205"/>
      <c r="AN284" s="205"/>
      <c r="AO284" s="205"/>
      <c r="AP284" s="205"/>
      <c r="AQ284" s="205"/>
      <c r="AR284" s="15">
        <f t="shared" si="8"/>
        <v>12</v>
      </c>
    </row>
    <row r="285" spans="1:48" ht="18.75" customHeight="1">
      <c r="A285" s="198"/>
      <c r="B285" s="198"/>
      <c r="C285" s="198"/>
      <c r="D285" s="198"/>
      <c r="E285" s="198"/>
      <c r="F285" s="198"/>
      <c r="G285" s="198"/>
      <c r="H285" s="198"/>
      <c r="I285" s="198"/>
      <c r="J285" s="198"/>
      <c r="K285" s="198"/>
      <c r="L285" s="198"/>
      <c r="M285" s="198"/>
      <c r="N285" s="198"/>
      <c r="O285" s="198"/>
      <c r="P285" s="198"/>
      <c r="Q285" s="198"/>
      <c r="R285" s="198"/>
      <c r="S285" s="198"/>
      <c r="T285" s="198"/>
      <c r="U285" s="198"/>
      <c r="V285" s="198"/>
      <c r="W285" s="198"/>
      <c r="X285" s="198"/>
      <c r="Y285" s="198"/>
      <c r="Z285" s="198"/>
      <c r="AA285" s="198"/>
      <c r="AB285" s="198"/>
      <c r="AC285" s="198"/>
      <c r="AD285" s="198"/>
      <c r="AE285" s="198"/>
      <c r="AF285" s="198"/>
      <c r="AG285" s="198"/>
      <c r="AH285" s="198"/>
      <c r="AI285" s="198"/>
      <c r="AJ285" s="198"/>
      <c r="AK285" s="198"/>
      <c r="AL285" s="198"/>
      <c r="AM285" s="198"/>
      <c r="AN285" s="198"/>
      <c r="AO285" s="198"/>
      <c r="AP285" s="198"/>
      <c r="AQ285" s="198"/>
      <c r="AR285" s="15">
        <f t="shared" si="8"/>
        <v>13</v>
      </c>
    </row>
    <row r="286" spans="1:48" ht="18.75" customHeight="1">
      <c r="A286" s="197" t="str">
        <f>'1'!$A$14</f>
        <v>記</v>
      </c>
      <c r="B286" s="197"/>
      <c r="C286" s="197"/>
      <c r="D286" s="197"/>
      <c r="E286" s="197"/>
      <c r="F286" s="197"/>
      <c r="G286" s="197"/>
      <c r="H286" s="197"/>
      <c r="I286" s="197"/>
      <c r="J286" s="197"/>
      <c r="K286" s="197"/>
      <c r="L286" s="197"/>
      <c r="M286" s="197"/>
      <c r="N286" s="197"/>
      <c r="O286" s="197"/>
      <c r="P286" s="197"/>
      <c r="Q286" s="197"/>
      <c r="R286" s="197"/>
      <c r="S286" s="197"/>
      <c r="T286" s="197"/>
      <c r="U286" s="197"/>
      <c r="V286" s="197"/>
      <c r="W286" s="197"/>
      <c r="X286" s="197"/>
      <c r="Y286" s="197"/>
      <c r="Z286" s="197"/>
      <c r="AA286" s="197"/>
      <c r="AB286" s="197"/>
      <c r="AC286" s="197"/>
      <c r="AD286" s="197"/>
      <c r="AE286" s="197"/>
      <c r="AF286" s="197"/>
      <c r="AG286" s="197"/>
      <c r="AH286" s="197"/>
      <c r="AI286" s="197"/>
      <c r="AJ286" s="197"/>
      <c r="AK286" s="197"/>
      <c r="AL286" s="197"/>
      <c r="AM286" s="197"/>
      <c r="AN286" s="197"/>
      <c r="AO286" s="197"/>
      <c r="AP286" s="197"/>
      <c r="AQ286" s="197"/>
      <c r="AR286" s="15">
        <f t="shared" si="8"/>
        <v>14</v>
      </c>
    </row>
    <row r="287" spans="1:48" ht="18.75" customHeight="1">
      <c r="A287" s="198"/>
      <c r="B287" s="198"/>
      <c r="C287" s="198"/>
      <c r="D287" s="198"/>
      <c r="E287" s="198"/>
      <c r="F287" s="198"/>
      <c r="G287" s="198"/>
      <c r="H287" s="198"/>
      <c r="I287" s="198"/>
      <c r="J287" s="198"/>
      <c r="K287" s="198"/>
      <c r="L287" s="198"/>
      <c r="M287" s="198"/>
      <c r="N287" s="198"/>
      <c r="O287" s="198"/>
      <c r="P287" s="198"/>
      <c r="Q287" s="198"/>
      <c r="R287" s="198"/>
      <c r="S287" s="198"/>
      <c r="T287" s="198"/>
      <c r="U287" s="198"/>
      <c r="V287" s="198"/>
      <c r="W287" s="198"/>
      <c r="X287" s="198"/>
      <c r="Y287" s="198"/>
      <c r="Z287" s="198"/>
      <c r="AA287" s="198"/>
      <c r="AB287" s="198"/>
      <c r="AC287" s="198"/>
      <c r="AD287" s="198"/>
      <c r="AE287" s="198"/>
      <c r="AF287" s="198"/>
      <c r="AG287" s="198"/>
      <c r="AH287" s="198"/>
      <c r="AI287" s="198"/>
      <c r="AJ287" s="198"/>
      <c r="AK287" s="198"/>
      <c r="AL287" s="198"/>
      <c r="AM287" s="198"/>
      <c r="AN287" s="198"/>
      <c r="AO287" s="198"/>
      <c r="AP287" s="198"/>
      <c r="AQ287" s="198"/>
      <c r="AR287" s="15">
        <f t="shared" si="8"/>
        <v>15</v>
      </c>
    </row>
    <row r="288" spans="1:48" ht="18.75" customHeight="1">
      <c r="I288" s="199" t="str">
        <f>'1'!$I$16</f>
        <v>補助内示額</v>
      </c>
      <c r="J288" s="199"/>
      <c r="K288" s="199"/>
      <c r="L288" s="199"/>
      <c r="M288" s="199"/>
      <c r="N288" s="199"/>
      <c r="S288" s="206">
        <f>INDEX(送付先一覧!A:O,MATCH(AV276,送付先一覧!A:A,0),12)</f>
        <v>666000</v>
      </c>
      <c r="T288" s="206"/>
      <c r="U288" s="206"/>
      <c r="V288" s="206"/>
      <c r="W288" s="206"/>
      <c r="X288" s="206"/>
      <c r="Y288" s="206"/>
      <c r="Z288" s="206"/>
      <c r="AA288" s="206"/>
      <c r="AB288" s="206"/>
      <c r="AC288" s="206"/>
      <c r="AD288" s="206"/>
      <c r="AE288" s="206"/>
      <c r="AF288" s="199"/>
      <c r="AG288" s="199"/>
      <c r="AH288" s="199"/>
      <c r="AI288" s="199"/>
      <c r="AR288" s="15">
        <f t="shared" si="8"/>
        <v>16</v>
      </c>
    </row>
    <row r="289" spans="1:44" ht="18.75" customHeight="1">
      <c r="I289" s="199" t="str">
        <f>'1'!$I$17</f>
        <v>事業種別</v>
      </c>
      <c r="J289" s="199"/>
      <c r="K289" s="199"/>
      <c r="L289" s="199"/>
      <c r="M289" s="199"/>
      <c r="N289" s="199"/>
      <c r="O289" s="199"/>
      <c r="P289" s="199"/>
      <c r="Q289" s="199"/>
      <c r="R289" s="199"/>
      <c r="S289" s="199" t="str">
        <f>INDEX(送付先一覧!A:O,MATCH(AV276,送付先一覧!A:A,0),9)</f>
        <v>児童発達支援</v>
      </c>
      <c r="T289" s="199"/>
      <c r="U289" s="199"/>
      <c r="V289" s="199"/>
      <c r="W289" s="199"/>
      <c r="X289" s="199"/>
      <c r="Y289" s="199"/>
      <c r="Z289" s="199"/>
      <c r="AA289" s="199"/>
      <c r="AB289" s="199"/>
      <c r="AC289" s="199"/>
      <c r="AD289" s="199"/>
      <c r="AE289" s="199"/>
      <c r="AF289" s="199"/>
      <c r="AG289" s="199"/>
      <c r="AH289" s="199"/>
      <c r="AI289" s="199"/>
      <c r="AJ289" s="199"/>
      <c r="AK289" s="199"/>
      <c r="AL289" s="199"/>
      <c r="AM289" s="199"/>
      <c r="AN289" s="199"/>
      <c r="AO289" s="199"/>
      <c r="AP289" s="199"/>
      <c r="AR289" s="15">
        <f t="shared" si="8"/>
        <v>17</v>
      </c>
    </row>
    <row r="290" spans="1:44" ht="18.75" customHeight="1">
      <c r="I290" s="199" t="str">
        <f>'1'!$I$18</f>
        <v>事業所名</v>
      </c>
      <c r="J290" s="199"/>
      <c r="K290" s="199"/>
      <c r="L290" s="199"/>
      <c r="M290" s="199"/>
      <c r="N290" s="199"/>
      <c r="O290" s="199"/>
      <c r="P290" s="199"/>
      <c r="Q290" s="199"/>
      <c r="R290" s="199"/>
      <c r="S290" s="204" t="str">
        <f>INDEX(送付先一覧!A:O,MATCH(AV276,送付先一覧!A:A,0),8)</f>
        <v>リッキーガーデン　長町南</v>
      </c>
      <c r="T290" s="204"/>
      <c r="U290" s="204"/>
      <c r="V290" s="204"/>
      <c r="W290" s="204"/>
      <c r="X290" s="204"/>
      <c r="Y290" s="204"/>
      <c r="Z290" s="204"/>
      <c r="AA290" s="204"/>
      <c r="AB290" s="204"/>
      <c r="AC290" s="204"/>
      <c r="AD290" s="204"/>
      <c r="AE290" s="204"/>
      <c r="AF290" s="204"/>
      <c r="AG290" s="204"/>
      <c r="AH290" s="204"/>
      <c r="AI290" s="204"/>
      <c r="AJ290" s="204"/>
      <c r="AK290" s="204"/>
      <c r="AL290" s="204"/>
      <c r="AM290" s="204"/>
      <c r="AN290" s="204"/>
      <c r="AO290" s="204"/>
      <c r="AP290" s="204"/>
      <c r="AQ290" s="204"/>
      <c r="AR290" s="15">
        <f t="shared" si="8"/>
        <v>18</v>
      </c>
    </row>
    <row r="291" spans="1:44" ht="18.75" customHeight="1">
      <c r="I291" s="198"/>
      <c r="J291" s="198"/>
      <c r="K291" s="198"/>
      <c r="L291" s="198"/>
      <c r="M291" s="198"/>
      <c r="N291" s="198"/>
      <c r="O291" s="198"/>
      <c r="P291" s="198"/>
      <c r="Q291" s="198"/>
      <c r="R291" s="198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66"/>
      <c r="AH291" s="66"/>
      <c r="AI291" s="66"/>
      <c r="AJ291" s="66"/>
      <c r="AK291" s="66"/>
      <c r="AL291" s="66"/>
      <c r="AM291" s="66"/>
      <c r="AN291" s="66"/>
      <c r="AO291" s="66"/>
      <c r="AP291" s="66"/>
      <c r="AQ291" s="66"/>
      <c r="AR291" s="15">
        <f t="shared" si="8"/>
        <v>19</v>
      </c>
    </row>
    <row r="292" spans="1:44" ht="18.75" customHeight="1">
      <c r="I292" s="198"/>
      <c r="J292" s="198"/>
      <c r="K292" s="198"/>
      <c r="L292" s="198"/>
      <c r="M292" s="198"/>
      <c r="N292" s="198"/>
      <c r="O292" s="198"/>
      <c r="P292" s="198"/>
      <c r="Q292" s="198"/>
      <c r="R292" s="198"/>
      <c r="S292" s="198"/>
      <c r="T292" s="198"/>
      <c r="U292" s="198"/>
      <c r="V292" s="198"/>
      <c r="W292" s="198"/>
      <c r="X292" s="198"/>
      <c r="Y292" s="198"/>
      <c r="Z292" s="198"/>
      <c r="AA292" s="198"/>
      <c r="AB292" s="198"/>
      <c r="AC292" s="198"/>
      <c r="AD292" s="198"/>
      <c r="AE292" s="198"/>
      <c r="AF292" s="198"/>
      <c r="AG292" s="198"/>
      <c r="AH292" s="198"/>
      <c r="AI292" s="198"/>
      <c r="AR292" s="15">
        <f t="shared" si="8"/>
        <v>20</v>
      </c>
    </row>
    <row r="293" spans="1:44" ht="18.75" customHeight="1">
      <c r="A293" s="198"/>
      <c r="B293" s="198"/>
      <c r="C293" s="198"/>
      <c r="D293" s="198"/>
      <c r="E293" s="198"/>
      <c r="F293" s="198"/>
      <c r="G293" s="198"/>
      <c r="H293" s="198"/>
      <c r="I293" s="198"/>
      <c r="J293" s="198"/>
      <c r="K293" s="198"/>
      <c r="L293" s="198"/>
      <c r="M293" s="198"/>
      <c r="N293" s="198"/>
      <c r="O293" s="198"/>
      <c r="P293" s="198"/>
      <c r="Q293" s="198"/>
      <c r="R293" s="198"/>
      <c r="S293" s="198"/>
      <c r="T293" s="198"/>
      <c r="U293" s="198"/>
      <c r="V293" s="198"/>
      <c r="W293" s="198"/>
      <c r="X293" s="198"/>
      <c r="Y293" s="198"/>
      <c r="Z293" s="198"/>
      <c r="AA293" s="198"/>
      <c r="AB293" s="198"/>
      <c r="AC293" s="198"/>
      <c r="AD293" s="198"/>
      <c r="AE293" s="198"/>
      <c r="AF293" s="198"/>
      <c r="AG293" s="198"/>
      <c r="AH293" s="198"/>
      <c r="AI293" s="198"/>
      <c r="AJ293" s="198"/>
      <c r="AK293" s="198"/>
      <c r="AL293" s="198"/>
      <c r="AM293" s="198"/>
      <c r="AN293" s="198"/>
      <c r="AO293" s="198"/>
      <c r="AP293" s="198"/>
      <c r="AQ293" s="198"/>
      <c r="AR293" s="15">
        <f t="shared" si="8"/>
        <v>21</v>
      </c>
    </row>
    <row r="294" spans="1:44" ht="18.75" customHeight="1">
      <c r="A294" s="198"/>
      <c r="B294" s="198"/>
      <c r="C294" s="198"/>
      <c r="D294" s="198"/>
      <c r="E294" s="198"/>
      <c r="F294" s="198"/>
      <c r="G294" s="198"/>
      <c r="H294" s="198"/>
      <c r="I294" s="198"/>
      <c r="J294" s="198"/>
      <c r="K294" s="198"/>
      <c r="L294" s="198"/>
      <c r="M294" s="198"/>
      <c r="N294" s="198"/>
      <c r="O294" s="198"/>
      <c r="P294" s="198"/>
      <c r="Q294" s="198"/>
      <c r="R294" s="198"/>
      <c r="S294" s="198"/>
      <c r="T294" s="198"/>
      <c r="U294" s="198"/>
      <c r="V294" s="198"/>
      <c r="W294" s="198"/>
      <c r="X294" s="198"/>
      <c r="Y294" s="198"/>
      <c r="Z294" s="198"/>
      <c r="AA294" s="198"/>
      <c r="AB294" s="198"/>
      <c r="AC294" s="198"/>
      <c r="AD294" s="198"/>
      <c r="AE294" s="198"/>
      <c r="AF294" s="198"/>
      <c r="AG294" s="198"/>
      <c r="AH294" s="198"/>
      <c r="AI294" s="198"/>
      <c r="AJ294" s="198"/>
      <c r="AK294" s="198"/>
      <c r="AL294" s="198"/>
      <c r="AM294" s="198"/>
      <c r="AN294" s="198"/>
      <c r="AO294" s="198"/>
      <c r="AP294" s="198"/>
      <c r="AQ294" s="198"/>
      <c r="AR294" s="15">
        <f t="shared" si="8"/>
        <v>22</v>
      </c>
    </row>
    <row r="295" spans="1:44" ht="18.75" customHeight="1">
      <c r="A295" s="198"/>
      <c r="B295" s="198"/>
      <c r="C295" s="198"/>
      <c r="D295" s="198"/>
      <c r="E295" s="198"/>
      <c r="F295" s="198"/>
      <c r="G295" s="198"/>
      <c r="H295" s="198"/>
      <c r="I295" s="198"/>
      <c r="J295" s="198"/>
      <c r="K295" s="198"/>
      <c r="L295" s="198"/>
      <c r="M295" s="198"/>
      <c r="N295" s="198"/>
      <c r="O295" s="198"/>
      <c r="P295" s="198"/>
      <c r="Q295" s="198"/>
      <c r="R295" s="198"/>
      <c r="S295" s="198"/>
      <c r="T295" s="198"/>
      <c r="U295" s="198"/>
      <c r="V295" s="198"/>
      <c r="W295" s="198"/>
      <c r="X295" s="198"/>
      <c r="Y295" s="198"/>
      <c r="Z295" s="198"/>
      <c r="AA295" s="198"/>
      <c r="AB295" s="198"/>
      <c r="AC295" s="198"/>
      <c r="AD295" s="198"/>
      <c r="AE295" s="198"/>
      <c r="AF295" s="198"/>
      <c r="AG295" s="198"/>
      <c r="AH295" s="198"/>
      <c r="AI295" s="198"/>
      <c r="AJ295" s="198"/>
      <c r="AK295" s="198"/>
      <c r="AL295" s="198"/>
      <c r="AM295" s="198"/>
      <c r="AN295" s="198"/>
      <c r="AO295" s="198"/>
      <c r="AP295" s="198"/>
      <c r="AQ295" s="198"/>
      <c r="AR295" s="15">
        <f t="shared" si="8"/>
        <v>23</v>
      </c>
    </row>
    <row r="296" spans="1:44" ht="18.75" customHeight="1">
      <c r="A296" s="198"/>
      <c r="B296" s="198"/>
      <c r="C296" s="198"/>
      <c r="D296" s="198"/>
      <c r="E296" s="198"/>
      <c r="F296" s="198"/>
      <c r="G296" s="198"/>
      <c r="H296" s="198"/>
      <c r="I296" s="198"/>
      <c r="J296" s="198"/>
      <c r="K296" s="198"/>
      <c r="L296" s="198"/>
      <c r="M296" s="198"/>
      <c r="N296" s="198"/>
      <c r="O296" s="198"/>
      <c r="P296" s="198"/>
      <c r="Q296" s="198"/>
      <c r="R296" s="198"/>
      <c r="S296" s="198"/>
      <c r="T296" s="198"/>
      <c r="U296" s="198"/>
      <c r="V296" s="198"/>
      <c r="W296" s="198"/>
      <c r="X296" s="198"/>
      <c r="Y296" s="198"/>
      <c r="Z296" s="198"/>
      <c r="AA296" s="198"/>
      <c r="AB296" s="198"/>
      <c r="AC296" s="198"/>
      <c r="AD296" s="198"/>
      <c r="AE296" s="198"/>
      <c r="AF296" s="198"/>
      <c r="AG296" s="198"/>
      <c r="AH296" s="198"/>
      <c r="AI296" s="198"/>
      <c r="AJ296" s="198"/>
      <c r="AK296" s="198"/>
      <c r="AL296" s="198"/>
      <c r="AM296" s="198"/>
      <c r="AN296" s="198"/>
      <c r="AO296" s="198"/>
      <c r="AP296" s="198"/>
      <c r="AQ296" s="198"/>
      <c r="AR296" s="15">
        <f t="shared" si="8"/>
        <v>24</v>
      </c>
    </row>
    <row r="297" spans="1:44" ht="18.75" customHeight="1">
      <c r="A297" s="198"/>
      <c r="B297" s="198"/>
      <c r="C297" s="198"/>
      <c r="D297" s="198"/>
      <c r="E297" s="198"/>
      <c r="F297" s="198"/>
      <c r="G297" s="198"/>
      <c r="H297" s="198"/>
      <c r="I297" s="198"/>
      <c r="J297" s="198"/>
      <c r="K297" s="198"/>
      <c r="L297" s="198"/>
      <c r="M297" s="198"/>
      <c r="N297" s="198"/>
      <c r="O297" s="198"/>
      <c r="P297" s="198"/>
      <c r="Q297" s="198"/>
      <c r="R297" s="198"/>
      <c r="S297" s="198"/>
      <c r="T297" s="198"/>
      <c r="U297" s="198"/>
      <c r="V297" s="198"/>
      <c r="W297" s="198"/>
      <c r="X297" s="198"/>
      <c r="Y297" s="198"/>
      <c r="Z297" s="198"/>
      <c r="AA297" s="198"/>
      <c r="AB297" s="198"/>
      <c r="AC297" s="198"/>
      <c r="AD297" s="198"/>
      <c r="AE297" s="198"/>
      <c r="AF297" s="198"/>
      <c r="AG297" s="198"/>
      <c r="AH297" s="198"/>
      <c r="AI297" s="198"/>
      <c r="AJ297" s="198"/>
      <c r="AK297" s="198"/>
      <c r="AL297" s="198"/>
      <c r="AM297" s="198"/>
      <c r="AN297" s="198"/>
      <c r="AO297" s="198"/>
      <c r="AP297" s="198"/>
      <c r="AQ297" s="198"/>
      <c r="AR297" s="15">
        <f t="shared" si="8"/>
        <v>25</v>
      </c>
    </row>
    <row r="298" spans="1:44" ht="18.75" customHeight="1">
      <c r="A298" s="198"/>
      <c r="B298" s="198"/>
      <c r="C298" s="198"/>
      <c r="D298" s="198"/>
      <c r="E298" s="198"/>
      <c r="F298" s="198"/>
      <c r="G298" s="198"/>
      <c r="H298" s="198"/>
      <c r="I298" s="198"/>
      <c r="J298" s="198"/>
      <c r="K298" s="198"/>
      <c r="L298" s="198"/>
      <c r="M298" s="198"/>
      <c r="N298" s="198"/>
      <c r="O298" s="198"/>
      <c r="P298" s="198"/>
      <c r="Q298" s="198"/>
      <c r="R298" s="198"/>
      <c r="S298" s="198"/>
      <c r="T298" s="198"/>
      <c r="U298" s="198"/>
      <c r="V298" s="198"/>
      <c r="W298" s="198"/>
      <c r="X298" s="198"/>
      <c r="Y298" s="198"/>
      <c r="Z298" s="198"/>
      <c r="AA298" s="198"/>
      <c r="AB298" s="198"/>
      <c r="AC298" s="198"/>
      <c r="AD298" s="198"/>
      <c r="AE298" s="198"/>
      <c r="AF298" s="198"/>
      <c r="AG298" s="198"/>
      <c r="AH298" s="198"/>
      <c r="AI298" s="198"/>
      <c r="AJ298" s="198"/>
      <c r="AK298" s="198"/>
      <c r="AL298" s="198"/>
      <c r="AM298" s="198"/>
      <c r="AN298" s="198"/>
      <c r="AO298" s="198"/>
      <c r="AP298" s="198"/>
      <c r="AQ298" s="198"/>
      <c r="AR298" s="15">
        <f t="shared" si="8"/>
        <v>26</v>
      </c>
    </row>
    <row r="299" spans="1:44" ht="18.75" customHeight="1">
      <c r="A299" s="198"/>
      <c r="B299" s="198"/>
      <c r="C299" s="198"/>
      <c r="D299" s="198"/>
      <c r="E299" s="198"/>
      <c r="F299" s="198"/>
      <c r="G299" s="198"/>
      <c r="H299" s="198"/>
      <c r="I299" s="198"/>
      <c r="J299" s="198"/>
      <c r="K299" s="198"/>
      <c r="L299" s="198"/>
      <c r="M299" s="198"/>
      <c r="N299" s="198"/>
      <c r="O299" s="198"/>
      <c r="P299" s="198"/>
      <c r="Q299" s="198"/>
      <c r="R299" s="198"/>
      <c r="S299" s="198"/>
      <c r="T299" s="198"/>
      <c r="U299" s="198"/>
      <c r="V299" s="198"/>
      <c r="W299" s="198"/>
      <c r="X299" s="198"/>
      <c r="Y299" s="198"/>
      <c r="Z299" s="198"/>
      <c r="AA299" s="198"/>
      <c r="AB299" s="198"/>
      <c r="AC299" s="198"/>
      <c r="AD299" s="198"/>
      <c r="AE299" s="198"/>
      <c r="AF299" s="198"/>
      <c r="AG299" s="198"/>
      <c r="AH299" s="198"/>
      <c r="AI299" s="198"/>
      <c r="AJ299" s="198"/>
      <c r="AK299" s="198"/>
      <c r="AL299" s="198"/>
      <c r="AM299" s="198"/>
      <c r="AN299" s="198"/>
      <c r="AO299" s="198"/>
      <c r="AP299" s="198"/>
      <c r="AQ299" s="198"/>
      <c r="AR299" s="15">
        <f t="shared" si="8"/>
        <v>27</v>
      </c>
    </row>
    <row r="300" spans="1:44" ht="18.75" customHeight="1">
      <c r="A300" s="198"/>
      <c r="B300" s="198"/>
      <c r="C300" s="198"/>
      <c r="D300" s="198"/>
      <c r="E300" s="198"/>
      <c r="F300" s="198"/>
      <c r="G300" s="198"/>
      <c r="H300" s="198"/>
      <c r="I300" s="198"/>
      <c r="J300" s="198"/>
      <c r="K300" s="198"/>
      <c r="L300" s="198"/>
      <c r="M300" s="198"/>
      <c r="N300" s="198"/>
      <c r="O300" s="198"/>
      <c r="P300" s="198"/>
      <c r="Q300" s="198"/>
      <c r="R300" s="198"/>
      <c r="S300" s="198"/>
      <c r="T300" s="198"/>
      <c r="U300" s="198"/>
      <c r="V300" s="198"/>
      <c r="W300" s="198"/>
      <c r="X300" s="198"/>
      <c r="Y300" s="198"/>
      <c r="Z300" s="198"/>
      <c r="AA300" s="198"/>
      <c r="AB300" s="198"/>
      <c r="AC300" s="198"/>
      <c r="AD300" s="198"/>
      <c r="AE300" s="198"/>
      <c r="AF300" s="198"/>
      <c r="AG300" s="198"/>
      <c r="AH300" s="198"/>
      <c r="AI300" s="198"/>
      <c r="AJ300" s="198"/>
      <c r="AK300" s="198"/>
      <c r="AL300" s="198"/>
      <c r="AM300" s="198"/>
      <c r="AN300" s="198"/>
      <c r="AO300" s="198"/>
      <c r="AP300" s="198"/>
      <c r="AQ300" s="198"/>
      <c r="AR300" s="15">
        <f t="shared" si="8"/>
        <v>28</v>
      </c>
    </row>
    <row r="301" spans="1:44" ht="18.75" customHeight="1">
      <c r="A301" s="198"/>
      <c r="B301" s="198"/>
      <c r="C301" s="198"/>
      <c r="D301" s="198"/>
      <c r="E301" s="198"/>
      <c r="F301" s="198"/>
      <c r="G301" s="198"/>
      <c r="H301" s="198"/>
      <c r="I301" s="198"/>
      <c r="J301" s="198"/>
      <c r="K301" s="198"/>
      <c r="L301" s="198"/>
      <c r="M301" s="198"/>
      <c r="N301" s="198"/>
      <c r="O301" s="198"/>
      <c r="P301" s="198"/>
      <c r="Q301" s="198"/>
      <c r="R301" s="198"/>
      <c r="S301" s="198"/>
      <c r="T301" s="198"/>
      <c r="U301" s="198"/>
      <c r="V301" s="198"/>
      <c r="W301" s="198"/>
      <c r="X301" s="198"/>
      <c r="Y301" s="198"/>
      <c r="Z301" s="198"/>
      <c r="AA301" s="198"/>
      <c r="AB301" s="198"/>
      <c r="AC301" s="198"/>
      <c r="AD301" s="198"/>
      <c r="AE301" s="198"/>
      <c r="AF301" s="198"/>
      <c r="AG301" s="198"/>
      <c r="AH301" s="198"/>
      <c r="AI301" s="198"/>
      <c r="AJ301" s="198"/>
      <c r="AK301" s="198"/>
      <c r="AL301" s="198"/>
      <c r="AM301" s="198"/>
      <c r="AN301" s="198"/>
      <c r="AO301" s="198"/>
      <c r="AP301" s="198"/>
      <c r="AQ301" s="198"/>
      <c r="AR301" s="15">
        <f t="shared" si="8"/>
        <v>29</v>
      </c>
    </row>
    <row r="302" spans="1:44" ht="18.75" customHeight="1">
      <c r="A302" s="198"/>
      <c r="B302" s="198"/>
      <c r="C302" s="198"/>
      <c r="D302" s="198"/>
      <c r="E302" s="198"/>
      <c r="F302" s="198"/>
      <c r="G302" s="198"/>
      <c r="H302" s="198"/>
      <c r="I302" s="198"/>
      <c r="J302" s="198"/>
      <c r="K302" s="198"/>
      <c r="L302" s="198"/>
      <c r="M302" s="198"/>
      <c r="N302" s="198"/>
      <c r="O302" s="198"/>
      <c r="P302" s="198"/>
      <c r="Q302" s="198"/>
      <c r="R302" s="198"/>
      <c r="S302" s="198"/>
      <c r="T302" s="198"/>
      <c r="U302" s="198"/>
      <c r="V302" s="198"/>
      <c r="W302" s="198"/>
      <c r="X302" s="198"/>
      <c r="Y302" s="198"/>
      <c r="Z302" s="198"/>
      <c r="AA302" s="198"/>
      <c r="AB302" s="198"/>
      <c r="AC302" s="198"/>
      <c r="AD302" s="198"/>
      <c r="AE302" s="198"/>
      <c r="AF302" s="198"/>
      <c r="AG302" s="198"/>
      <c r="AH302" s="198"/>
      <c r="AI302" s="198"/>
      <c r="AJ302" s="198"/>
      <c r="AK302" s="198"/>
      <c r="AL302" s="198"/>
      <c r="AM302" s="198"/>
      <c r="AN302" s="198"/>
      <c r="AO302" s="198"/>
      <c r="AP302" s="198"/>
      <c r="AQ302" s="198"/>
      <c r="AR302" s="15">
        <f t="shared" si="8"/>
        <v>30</v>
      </c>
    </row>
    <row r="303" spans="1:44" ht="18.75" customHeight="1">
      <c r="A303" s="198"/>
      <c r="B303" s="198"/>
      <c r="C303" s="198"/>
      <c r="D303" s="198"/>
      <c r="E303" s="198"/>
      <c r="F303" s="198"/>
      <c r="G303" s="198"/>
      <c r="H303" s="198"/>
      <c r="I303" s="198"/>
      <c r="J303" s="198"/>
      <c r="K303" s="198"/>
      <c r="L303" s="198"/>
      <c r="M303" s="198"/>
      <c r="N303" s="198"/>
      <c r="O303" s="198"/>
      <c r="P303" s="198"/>
      <c r="Q303" s="198"/>
      <c r="R303" s="198"/>
      <c r="S303" s="198"/>
      <c r="T303" s="198"/>
      <c r="U303" s="198"/>
      <c r="V303" s="198"/>
      <c r="W303" s="198"/>
      <c r="X303" s="198"/>
      <c r="Y303" s="198"/>
      <c r="Z303" s="198"/>
      <c r="AA303" s="198"/>
      <c r="AB303" s="198"/>
      <c r="AC303" s="198"/>
      <c r="AD303" s="198"/>
      <c r="AE303" s="198"/>
      <c r="AF303" s="198"/>
      <c r="AG303" s="198"/>
      <c r="AH303" s="198"/>
      <c r="AI303" s="198"/>
      <c r="AJ303" s="198"/>
      <c r="AK303" s="198"/>
      <c r="AL303" s="198"/>
      <c r="AM303" s="198"/>
      <c r="AN303" s="198"/>
      <c r="AO303" s="198"/>
      <c r="AP303" s="198"/>
      <c r="AQ303" s="198"/>
      <c r="AR303" s="15">
        <f t="shared" si="8"/>
        <v>31</v>
      </c>
    </row>
    <row r="304" spans="1:44" ht="18.75" customHeight="1">
      <c r="A304" s="198"/>
      <c r="B304" s="198"/>
      <c r="C304" s="198"/>
      <c r="D304" s="198"/>
      <c r="E304" s="198"/>
      <c r="F304" s="198"/>
      <c r="G304" s="198"/>
      <c r="H304" s="198"/>
      <c r="I304" s="198"/>
      <c r="J304" s="198"/>
      <c r="K304" s="198"/>
      <c r="L304" s="198"/>
      <c r="M304" s="198"/>
      <c r="N304" s="198"/>
      <c r="O304" s="198"/>
      <c r="P304" s="198"/>
      <c r="Q304" s="198"/>
      <c r="R304" s="198"/>
      <c r="S304" s="198"/>
      <c r="T304" s="198"/>
      <c r="U304" s="198"/>
      <c r="V304" s="198"/>
      <c r="W304" s="198"/>
      <c r="X304" s="198"/>
      <c r="Y304" s="198"/>
      <c r="Z304" s="198"/>
      <c r="AA304" s="198"/>
      <c r="AB304" s="198"/>
      <c r="AC304" s="198"/>
      <c r="AD304" s="198"/>
      <c r="AE304" s="198"/>
      <c r="AF304" s="198"/>
      <c r="AG304" s="198"/>
      <c r="AH304" s="198"/>
      <c r="AI304" s="198"/>
      <c r="AJ304" s="198"/>
      <c r="AK304" s="198"/>
      <c r="AL304" s="198"/>
      <c r="AM304" s="198"/>
      <c r="AN304" s="198"/>
      <c r="AO304" s="198"/>
      <c r="AP304" s="198"/>
      <c r="AQ304" s="198"/>
      <c r="AR304" s="15">
        <f t="shared" si="8"/>
        <v>32</v>
      </c>
    </row>
    <row r="305" spans="1:44" ht="18.75" customHeight="1">
      <c r="A305" s="198"/>
      <c r="B305" s="198"/>
      <c r="C305" s="198"/>
      <c r="D305" s="198"/>
      <c r="E305" s="198"/>
      <c r="F305" s="198"/>
      <c r="G305" s="198"/>
      <c r="H305" s="198"/>
      <c r="I305" s="198"/>
      <c r="J305" s="198"/>
      <c r="K305" s="198"/>
      <c r="L305" s="198"/>
      <c r="M305" s="198"/>
      <c r="N305" s="198"/>
      <c r="O305" s="198"/>
      <c r="P305" s="198"/>
      <c r="Q305" s="198"/>
      <c r="R305" s="198"/>
      <c r="S305" s="198"/>
      <c r="T305" s="198"/>
      <c r="U305" s="198"/>
      <c r="V305" s="198"/>
      <c r="W305" s="198"/>
      <c r="X305" s="198"/>
      <c r="Y305" s="198"/>
      <c r="Z305" s="198"/>
      <c r="AA305" s="198"/>
      <c r="AB305" s="198"/>
      <c r="AC305" s="198"/>
      <c r="AD305" s="198"/>
      <c r="AE305" s="198"/>
      <c r="AF305" s="198"/>
      <c r="AG305" s="198"/>
      <c r="AH305" s="198"/>
      <c r="AI305" s="198"/>
      <c r="AJ305" s="198"/>
      <c r="AK305" s="198"/>
      <c r="AL305" s="198"/>
      <c r="AM305" s="198"/>
      <c r="AN305" s="198"/>
      <c r="AO305" s="198"/>
      <c r="AP305" s="198"/>
      <c r="AQ305" s="198"/>
      <c r="AR305" s="15">
        <f t="shared" si="8"/>
        <v>33</v>
      </c>
    </row>
    <row r="306" spans="1:44" ht="18.75" customHeight="1">
      <c r="A306" s="198"/>
      <c r="B306" s="198"/>
      <c r="C306" s="198"/>
      <c r="D306" s="198"/>
      <c r="E306" s="198"/>
      <c r="F306" s="198"/>
      <c r="G306" s="198"/>
      <c r="H306" s="198"/>
      <c r="I306" s="198"/>
      <c r="J306" s="198"/>
      <c r="K306" s="198"/>
      <c r="L306" s="198"/>
      <c r="M306" s="198"/>
      <c r="N306" s="198"/>
      <c r="O306" s="198"/>
      <c r="P306" s="198"/>
      <c r="Q306" s="198"/>
      <c r="R306" s="198"/>
      <c r="S306" s="198"/>
      <c r="T306" s="198"/>
      <c r="U306" s="198"/>
      <c r="V306" s="198"/>
      <c r="W306" s="198"/>
      <c r="X306" s="198"/>
      <c r="Y306" s="198"/>
      <c r="Z306" s="198"/>
      <c r="AA306" s="198"/>
      <c r="AB306" s="198"/>
      <c r="AC306" s="198"/>
      <c r="AD306" s="198"/>
      <c r="AE306" s="198"/>
      <c r="AF306" s="198"/>
      <c r="AG306" s="198"/>
      <c r="AH306" s="198"/>
      <c r="AI306" s="198"/>
      <c r="AJ306" s="198"/>
      <c r="AK306" s="198"/>
      <c r="AL306" s="198"/>
      <c r="AM306" s="198"/>
      <c r="AN306" s="198"/>
      <c r="AO306" s="198"/>
      <c r="AP306" s="198"/>
      <c r="AQ306" s="198"/>
      <c r="AR306" s="15">
        <f t="shared" si="8"/>
        <v>34</v>
      </c>
    </row>
    <row r="307" spans="1:44" ht="18.75" customHeight="1">
      <c r="A307" s="15"/>
      <c r="B307" s="15"/>
    </row>
    <row r="308" spans="1:44" ht="16.5" customHeight="1"/>
    <row r="309" spans="1:44" ht="16.5" customHeight="1"/>
    <row r="310" spans="1:44" ht="16.5" customHeight="1"/>
    <row r="311" spans="1:44" ht="16.5" customHeight="1"/>
    <row r="312" spans="1:44" ht="16.5" customHeight="1"/>
    <row r="313" spans="1:44" ht="16.5" customHeight="1"/>
    <row r="314" spans="1:44" ht="16.5" customHeight="1"/>
    <row r="315" spans="1:44" ht="16.5" customHeight="1"/>
    <row r="316" spans="1:44" ht="16.5" customHeight="1"/>
    <row r="317" spans="1:44" ht="16.5" customHeight="1"/>
    <row r="318" spans="1:44" ht="16.5" customHeight="1"/>
    <row r="319" spans="1:44" ht="16.5" customHeight="1"/>
    <row r="320" spans="1:44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</sheetData>
  <sheetProtection formatCells="0" selectLockedCells="1"/>
  <mergeCells count="387">
    <mergeCell ref="A302:AQ302"/>
    <mergeCell ref="A303:AQ303"/>
    <mergeCell ref="A304:AQ304"/>
    <mergeCell ref="A305:AQ305"/>
    <mergeCell ref="A306:AQ306"/>
    <mergeCell ref="A296:AQ296"/>
    <mergeCell ref="A297:AQ297"/>
    <mergeCell ref="A298:AQ298"/>
    <mergeCell ref="A299:AQ299"/>
    <mergeCell ref="A300:AQ300"/>
    <mergeCell ref="A301:AQ301"/>
    <mergeCell ref="I291:R291"/>
    <mergeCell ref="I292:R292"/>
    <mergeCell ref="S292:AI292"/>
    <mergeCell ref="A293:AQ293"/>
    <mergeCell ref="A294:AQ294"/>
    <mergeCell ref="A295:AQ295"/>
    <mergeCell ref="I289:N289"/>
    <mergeCell ref="O289:R289"/>
    <mergeCell ref="S289:AP289"/>
    <mergeCell ref="I290:N290"/>
    <mergeCell ref="O290:R290"/>
    <mergeCell ref="S290:AQ290"/>
    <mergeCell ref="A285:AQ285"/>
    <mergeCell ref="A286:AQ286"/>
    <mergeCell ref="A287:AQ287"/>
    <mergeCell ref="I288:N288"/>
    <mergeCell ref="S288:AE288"/>
    <mergeCell ref="AF288:AI288"/>
    <mergeCell ref="V279:AQ279"/>
    <mergeCell ref="V280:AQ280"/>
    <mergeCell ref="A281:AQ281"/>
    <mergeCell ref="A282:AQ282"/>
    <mergeCell ref="A283:AQ283"/>
    <mergeCell ref="A284:AQ284"/>
    <mergeCell ref="A274:B274"/>
    <mergeCell ref="AI274:AQ274"/>
    <mergeCell ref="A275:AQ275"/>
    <mergeCell ref="A276:AQ276"/>
    <mergeCell ref="A277:AQ277"/>
    <mergeCell ref="A278:AQ278"/>
    <mergeCell ref="A268:AQ268"/>
    <mergeCell ref="A269:AQ269"/>
    <mergeCell ref="A270:AQ270"/>
    <mergeCell ref="A271:AQ271"/>
    <mergeCell ref="A272:AQ272"/>
    <mergeCell ref="A273:B273"/>
    <mergeCell ref="AI273:AQ273"/>
    <mergeCell ref="A262:AQ262"/>
    <mergeCell ref="A263:AQ263"/>
    <mergeCell ref="A264:AQ264"/>
    <mergeCell ref="A265:AQ265"/>
    <mergeCell ref="A266:AQ266"/>
    <mergeCell ref="A267:AQ267"/>
    <mergeCell ref="I257:R257"/>
    <mergeCell ref="I258:R258"/>
    <mergeCell ref="S258:AI258"/>
    <mergeCell ref="A259:AQ259"/>
    <mergeCell ref="A260:AQ260"/>
    <mergeCell ref="A261:AQ261"/>
    <mergeCell ref="I255:N255"/>
    <mergeCell ref="O255:R255"/>
    <mergeCell ref="S255:AP255"/>
    <mergeCell ref="I256:N256"/>
    <mergeCell ref="O256:R256"/>
    <mergeCell ref="S256:AQ256"/>
    <mergeCell ref="A251:AQ251"/>
    <mergeCell ref="A252:AQ252"/>
    <mergeCell ref="A253:AQ253"/>
    <mergeCell ref="I254:N254"/>
    <mergeCell ref="S254:AE254"/>
    <mergeCell ref="AF254:AI254"/>
    <mergeCell ref="V245:AQ245"/>
    <mergeCell ref="V246:AQ246"/>
    <mergeCell ref="A247:AQ247"/>
    <mergeCell ref="A248:AQ248"/>
    <mergeCell ref="A249:AQ249"/>
    <mergeCell ref="A250:AQ250"/>
    <mergeCell ref="A240:B240"/>
    <mergeCell ref="AI240:AQ240"/>
    <mergeCell ref="A241:AQ241"/>
    <mergeCell ref="A242:AQ242"/>
    <mergeCell ref="A243:AQ243"/>
    <mergeCell ref="A244:AQ244"/>
    <mergeCell ref="A234:AQ234"/>
    <mergeCell ref="A235:AQ235"/>
    <mergeCell ref="A236:AQ236"/>
    <mergeCell ref="A237:AQ237"/>
    <mergeCell ref="A238:AQ238"/>
    <mergeCell ref="A239:B239"/>
    <mergeCell ref="AI239:AQ239"/>
    <mergeCell ref="A228:AQ228"/>
    <mergeCell ref="A229:AQ229"/>
    <mergeCell ref="A230:AQ230"/>
    <mergeCell ref="A231:AQ231"/>
    <mergeCell ref="A232:AQ232"/>
    <mergeCell ref="A233:AQ233"/>
    <mergeCell ref="I223:R223"/>
    <mergeCell ref="I224:R224"/>
    <mergeCell ref="S224:AI224"/>
    <mergeCell ref="A225:AQ225"/>
    <mergeCell ref="A226:AQ226"/>
    <mergeCell ref="A227:AQ227"/>
    <mergeCell ref="I221:N221"/>
    <mergeCell ref="O221:R221"/>
    <mergeCell ref="S221:AP221"/>
    <mergeCell ref="I222:N222"/>
    <mergeCell ref="O222:R222"/>
    <mergeCell ref="S222:AQ222"/>
    <mergeCell ref="A217:AQ217"/>
    <mergeCell ref="A218:AQ218"/>
    <mergeCell ref="A219:AQ219"/>
    <mergeCell ref="I220:N220"/>
    <mergeCell ref="S220:AE220"/>
    <mergeCell ref="AF220:AI220"/>
    <mergeCell ref="V211:AQ211"/>
    <mergeCell ref="V212:AQ212"/>
    <mergeCell ref="A213:AQ213"/>
    <mergeCell ref="A214:AQ214"/>
    <mergeCell ref="A215:AQ215"/>
    <mergeCell ref="A216:AQ216"/>
    <mergeCell ref="A206:B206"/>
    <mergeCell ref="AI206:AQ206"/>
    <mergeCell ref="A207:AQ207"/>
    <mergeCell ref="A208:AQ208"/>
    <mergeCell ref="A209:AQ209"/>
    <mergeCell ref="A210:AQ210"/>
    <mergeCell ref="A200:AQ200"/>
    <mergeCell ref="A201:AQ201"/>
    <mergeCell ref="A202:AQ202"/>
    <mergeCell ref="A203:AQ203"/>
    <mergeCell ref="A204:AQ204"/>
    <mergeCell ref="A205:B205"/>
    <mergeCell ref="AI205:AQ205"/>
    <mergeCell ref="A194:AQ194"/>
    <mergeCell ref="A195:AQ195"/>
    <mergeCell ref="A196:AQ196"/>
    <mergeCell ref="A197:AQ197"/>
    <mergeCell ref="A198:AQ198"/>
    <mergeCell ref="A199:AQ199"/>
    <mergeCell ref="I189:R189"/>
    <mergeCell ref="I190:R190"/>
    <mergeCell ref="S190:AI190"/>
    <mergeCell ref="A191:AQ191"/>
    <mergeCell ref="A192:AQ192"/>
    <mergeCell ref="A193:AQ193"/>
    <mergeCell ref="I187:N187"/>
    <mergeCell ref="O187:R187"/>
    <mergeCell ref="S187:AP187"/>
    <mergeCell ref="I188:N188"/>
    <mergeCell ref="O188:R188"/>
    <mergeCell ref="S188:AQ188"/>
    <mergeCell ref="A183:AQ183"/>
    <mergeCell ref="A184:AQ184"/>
    <mergeCell ref="A185:AQ185"/>
    <mergeCell ref="I186:N186"/>
    <mergeCell ref="S186:AE186"/>
    <mergeCell ref="AF186:AI186"/>
    <mergeCell ref="V177:AQ177"/>
    <mergeCell ref="V178:AQ178"/>
    <mergeCell ref="A179:AQ179"/>
    <mergeCell ref="A180:AQ180"/>
    <mergeCell ref="A181:AQ181"/>
    <mergeCell ref="A182:AQ182"/>
    <mergeCell ref="A172:B172"/>
    <mergeCell ref="AI172:AQ172"/>
    <mergeCell ref="A173:AQ173"/>
    <mergeCell ref="A174:AQ174"/>
    <mergeCell ref="A175:AQ175"/>
    <mergeCell ref="A176:AQ176"/>
    <mergeCell ref="A166:AQ166"/>
    <mergeCell ref="A167:AQ167"/>
    <mergeCell ref="A168:AQ168"/>
    <mergeCell ref="A169:AQ169"/>
    <mergeCell ref="A170:AQ170"/>
    <mergeCell ref="A171:B171"/>
    <mergeCell ref="AI171:AQ171"/>
    <mergeCell ref="A160:AQ160"/>
    <mergeCell ref="A161:AQ161"/>
    <mergeCell ref="A162:AQ162"/>
    <mergeCell ref="A163:AQ163"/>
    <mergeCell ref="A164:AQ164"/>
    <mergeCell ref="A165:AQ165"/>
    <mergeCell ref="I155:R155"/>
    <mergeCell ref="I156:R156"/>
    <mergeCell ref="S156:AI156"/>
    <mergeCell ref="A157:AQ157"/>
    <mergeCell ref="A158:AQ158"/>
    <mergeCell ref="A159:AQ159"/>
    <mergeCell ref="I153:N153"/>
    <mergeCell ref="O153:R153"/>
    <mergeCell ref="S153:AP153"/>
    <mergeCell ref="I154:N154"/>
    <mergeCell ref="O154:R154"/>
    <mergeCell ref="S154:AQ154"/>
    <mergeCell ref="A149:AQ149"/>
    <mergeCell ref="A150:AQ150"/>
    <mergeCell ref="A151:AQ151"/>
    <mergeCell ref="I152:N152"/>
    <mergeCell ref="S152:AE152"/>
    <mergeCell ref="AF152:AI152"/>
    <mergeCell ref="V143:AQ143"/>
    <mergeCell ref="V144:AQ144"/>
    <mergeCell ref="A145:AQ145"/>
    <mergeCell ref="A146:AQ146"/>
    <mergeCell ref="A147:AQ147"/>
    <mergeCell ref="A148:AQ148"/>
    <mergeCell ref="A138:B138"/>
    <mergeCell ref="AI138:AQ138"/>
    <mergeCell ref="A139:AQ139"/>
    <mergeCell ref="A140:AQ140"/>
    <mergeCell ref="A141:AQ141"/>
    <mergeCell ref="A142:AQ142"/>
    <mergeCell ref="A132:AQ132"/>
    <mergeCell ref="A133:AQ133"/>
    <mergeCell ref="A134:AQ134"/>
    <mergeCell ref="A135:AQ135"/>
    <mergeCell ref="A136:AQ136"/>
    <mergeCell ref="A137:B137"/>
    <mergeCell ref="AI137:AQ137"/>
    <mergeCell ref="A126:AQ126"/>
    <mergeCell ref="A127:AQ127"/>
    <mergeCell ref="A128:AQ128"/>
    <mergeCell ref="A129:AQ129"/>
    <mergeCell ref="A130:AQ130"/>
    <mergeCell ref="A131:AQ131"/>
    <mergeCell ref="I121:R121"/>
    <mergeCell ref="I122:R122"/>
    <mergeCell ref="S122:AI122"/>
    <mergeCell ref="A123:AQ123"/>
    <mergeCell ref="A124:AQ124"/>
    <mergeCell ref="A125:AQ125"/>
    <mergeCell ref="I119:N119"/>
    <mergeCell ref="O119:R119"/>
    <mergeCell ref="S119:AP119"/>
    <mergeCell ref="I120:N120"/>
    <mergeCell ref="O120:R120"/>
    <mergeCell ref="S120:AQ120"/>
    <mergeCell ref="A115:AQ115"/>
    <mergeCell ref="A116:AQ116"/>
    <mergeCell ref="A117:AQ117"/>
    <mergeCell ref="I118:N118"/>
    <mergeCell ref="S118:AE118"/>
    <mergeCell ref="AF118:AI118"/>
    <mergeCell ref="V109:AQ109"/>
    <mergeCell ref="V110:AQ110"/>
    <mergeCell ref="A111:AQ111"/>
    <mergeCell ref="A112:AQ112"/>
    <mergeCell ref="A113:AQ113"/>
    <mergeCell ref="A114:AQ114"/>
    <mergeCell ref="A104:B104"/>
    <mergeCell ref="AI104:AQ104"/>
    <mergeCell ref="A105:AQ105"/>
    <mergeCell ref="A106:AQ106"/>
    <mergeCell ref="A107:AQ107"/>
    <mergeCell ref="A108:AQ108"/>
    <mergeCell ref="A98:AQ98"/>
    <mergeCell ref="A99:AQ99"/>
    <mergeCell ref="A100:AQ100"/>
    <mergeCell ref="A101:AQ101"/>
    <mergeCell ref="A102:AQ102"/>
    <mergeCell ref="A103:B103"/>
    <mergeCell ref="AI103:AQ103"/>
    <mergeCell ref="A92:AQ92"/>
    <mergeCell ref="A93:AQ93"/>
    <mergeCell ref="A94:AQ94"/>
    <mergeCell ref="A95:AQ95"/>
    <mergeCell ref="A96:AQ96"/>
    <mergeCell ref="A97:AQ97"/>
    <mergeCell ref="I87:R87"/>
    <mergeCell ref="I88:R88"/>
    <mergeCell ref="S88:AI88"/>
    <mergeCell ref="A89:AQ89"/>
    <mergeCell ref="A90:AQ90"/>
    <mergeCell ref="A91:AQ91"/>
    <mergeCell ref="I85:N85"/>
    <mergeCell ref="O85:R85"/>
    <mergeCell ref="S85:AP85"/>
    <mergeCell ref="I86:N86"/>
    <mergeCell ref="O86:R86"/>
    <mergeCell ref="S86:AQ86"/>
    <mergeCell ref="A81:AQ81"/>
    <mergeCell ref="A82:AQ82"/>
    <mergeCell ref="A83:AQ83"/>
    <mergeCell ref="I84:N84"/>
    <mergeCell ref="S84:AE84"/>
    <mergeCell ref="AF84:AI84"/>
    <mergeCell ref="V75:AQ75"/>
    <mergeCell ref="V76:AQ76"/>
    <mergeCell ref="A77:AQ77"/>
    <mergeCell ref="A78:AQ78"/>
    <mergeCell ref="A79:AQ79"/>
    <mergeCell ref="A80:AQ80"/>
    <mergeCell ref="A70:B70"/>
    <mergeCell ref="AI70:AQ70"/>
    <mergeCell ref="A71:AQ71"/>
    <mergeCell ref="A72:AQ72"/>
    <mergeCell ref="A73:AQ73"/>
    <mergeCell ref="A74:AQ74"/>
    <mergeCell ref="A64:AQ64"/>
    <mergeCell ref="A65:AQ65"/>
    <mergeCell ref="A66:AQ66"/>
    <mergeCell ref="A67:AQ67"/>
    <mergeCell ref="A68:AQ68"/>
    <mergeCell ref="A69:B69"/>
    <mergeCell ref="AI69:AQ69"/>
    <mergeCell ref="A58:AQ58"/>
    <mergeCell ref="A59:AQ59"/>
    <mergeCell ref="A60:AQ60"/>
    <mergeCell ref="A61:AQ61"/>
    <mergeCell ref="A62:AQ62"/>
    <mergeCell ref="A63:AQ63"/>
    <mergeCell ref="I53:R53"/>
    <mergeCell ref="I54:R54"/>
    <mergeCell ref="S54:AI54"/>
    <mergeCell ref="A55:AQ55"/>
    <mergeCell ref="A56:AQ56"/>
    <mergeCell ref="A57:AQ57"/>
    <mergeCell ref="I51:N51"/>
    <mergeCell ref="O51:R51"/>
    <mergeCell ref="S51:AP51"/>
    <mergeCell ref="I52:N52"/>
    <mergeCell ref="O52:R52"/>
    <mergeCell ref="S52:AQ52"/>
    <mergeCell ref="A47:AQ47"/>
    <mergeCell ref="A48:AQ48"/>
    <mergeCell ref="A49:AQ49"/>
    <mergeCell ref="I50:N50"/>
    <mergeCell ref="S50:AE50"/>
    <mergeCell ref="AF50:AI50"/>
    <mergeCell ref="V41:AQ41"/>
    <mergeCell ref="V42:AQ42"/>
    <mergeCell ref="A43:AQ43"/>
    <mergeCell ref="A44:AQ44"/>
    <mergeCell ref="A45:AQ45"/>
    <mergeCell ref="A46:AQ46"/>
    <mergeCell ref="A36:B36"/>
    <mergeCell ref="AI36:AQ36"/>
    <mergeCell ref="A37:AQ37"/>
    <mergeCell ref="A38:AQ38"/>
    <mergeCell ref="A39:AQ39"/>
    <mergeCell ref="A40:AQ40"/>
    <mergeCell ref="A30:AQ30"/>
    <mergeCell ref="A31:AQ31"/>
    <mergeCell ref="A32:AQ32"/>
    <mergeCell ref="A33:AQ33"/>
    <mergeCell ref="A34:AQ34"/>
    <mergeCell ref="A35:B35"/>
    <mergeCell ref="AI35:AQ35"/>
    <mergeCell ref="A24:AQ24"/>
    <mergeCell ref="A25:AQ25"/>
    <mergeCell ref="A26:AQ26"/>
    <mergeCell ref="A27:AQ27"/>
    <mergeCell ref="A28:AQ28"/>
    <mergeCell ref="A29:AQ29"/>
    <mergeCell ref="I19:R19"/>
    <mergeCell ref="I20:R20"/>
    <mergeCell ref="S20:AI20"/>
    <mergeCell ref="A21:AQ21"/>
    <mergeCell ref="A22:AQ22"/>
    <mergeCell ref="A23:AQ23"/>
    <mergeCell ref="I17:N17"/>
    <mergeCell ref="O17:R17"/>
    <mergeCell ref="S17:AP17"/>
    <mergeCell ref="I18:N18"/>
    <mergeCell ref="O18:R18"/>
    <mergeCell ref="S18:AQ18"/>
    <mergeCell ref="A14:AQ14"/>
    <mergeCell ref="A15:AQ15"/>
    <mergeCell ref="I16:N16"/>
    <mergeCell ref="S16:AE16"/>
    <mergeCell ref="AF16:AI16"/>
    <mergeCell ref="A5:AQ5"/>
    <mergeCell ref="A6:AQ6"/>
    <mergeCell ref="V7:AQ7"/>
    <mergeCell ref="V8:AQ8"/>
    <mergeCell ref="A9:AQ9"/>
    <mergeCell ref="A10:AQ10"/>
    <mergeCell ref="A1:B1"/>
    <mergeCell ref="AI1:AQ1"/>
    <mergeCell ref="A2:B2"/>
    <mergeCell ref="AI2:AQ2"/>
    <mergeCell ref="A3:AQ3"/>
    <mergeCell ref="A4:AQ4"/>
    <mergeCell ref="A11:AQ11"/>
    <mergeCell ref="A12:AQ12"/>
    <mergeCell ref="A13:AQ13"/>
  </mergeCells>
  <phoneticPr fontId="1"/>
  <pageMargins left="0.98425196850393704" right="0.98425196850393704" top="1.3779527559055118" bottom="1.181102362204724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tabColor rgb="FFFFC000"/>
  </sheetPr>
  <dimension ref="A1:AV126"/>
  <sheetViews>
    <sheetView showGridLines="0" view="pageBreakPreview" zoomScaleNormal="100" zoomScaleSheetLayoutView="100" workbookViewId="0">
      <selection activeCell="V7" sqref="V7:AQ7"/>
    </sheetView>
  </sheetViews>
  <sheetFormatPr defaultColWidth="9" defaultRowHeight="22.5" customHeight="1"/>
  <cols>
    <col min="1" max="43" width="1.90625" style="13" customWidth="1"/>
    <col min="44" max="44" width="3.36328125" style="15" customWidth="1"/>
    <col min="45" max="47" width="1.90625" style="13" customWidth="1"/>
    <col min="48" max="48" width="6.26953125" style="13" customWidth="1"/>
    <col min="49" max="49" width="25" style="13" customWidth="1"/>
    <col min="50" max="16384" width="9" style="13"/>
  </cols>
  <sheetData>
    <row r="1" spans="1:48" ht="16.5" customHeight="1">
      <c r="A1" s="197"/>
      <c r="B1" s="197"/>
      <c r="AI1" s="200" t="str">
        <f>'1'!$AI$1</f>
        <v>R4健障障第100号</v>
      </c>
      <c r="AJ1" s="200"/>
      <c r="AK1" s="200"/>
      <c r="AL1" s="200"/>
      <c r="AM1" s="200"/>
      <c r="AN1" s="200"/>
      <c r="AO1" s="200"/>
      <c r="AP1" s="200"/>
      <c r="AQ1" s="200"/>
      <c r="AR1" s="15">
        <v>1</v>
      </c>
    </row>
    <row r="2" spans="1:48" ht="16.5" customHeight="1">
      <c r="A2" s="197"/>
      <c r="B2" s="197"/>
      <c r="AI2" s="201">
        <f>'1'!$AI$2</f>
        <v>44677</v>
      </c>
      <c r="AJ2" s="201"/>
      <c r="AK2" s="201"/>
      <c r="AL2" s="201"/>
      <c r="AM2" s="201"/>
      <c r="AN2" s="201"/>
      <c r="AO2" s="201"/>
      <c r="AP2" s="201"/>
      <c r="AQ2" s="201"/>
      <c r="AR2" s="15">
        <f>AR1+1</f>
        <v>2</v>
      </c>
    </row>
    <row r="3" spans="1:48" ht="18.7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5">
        <f t="shared" ref="AR3:AR34" si="0">AR2+1</f>
        <v>3</v>
      </c>
    </row>
    <row r="4" spans="1:48" ht="18.75" customHeight="1">
      <c r="A4" s="199" t="str">
        <f>INDEX(送付先一覧!A:O,MATCH(AV4,送付先一覧!A:A,0),4)</f>
        <v>合同会社B－ダッシュ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5">
        <f t="shared" si="0"/>
        <v>4</v>
      </c>
      <c r="AV4" s="65">
        <v>16</v>
      </c>
    </row>
    <row r="5" spans="1:48" ht="18.75" customHeight="1">
      <c r="A5" s="202" t="str">
        <f>INDEX(送付先一覧!A:O,MATCH(AV4,送付先一覧!A:A,0),5)</f>
        <v>代表社員　磯野　敏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15">
        <f t="shared" si="0"/>
        <v>5</v>
      </c>
    </row>
    <row r="6" spans="1:48" ht="18.75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5">
        <f t="shared" si="0"/>
        <v>6</v>
      </c>
    </row>
    <row r="7" spans="1:48" ht="18.75" customHeight="1">
      <c r="V7" s="199" t="str">
        <f>'1'!$V$7</f>
        <v>仙台市健康福祉局障害福祉部障害企画課長　　</v>
      </c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5">
        <f t="shared" si="0"/>
        <v>7</v>
      </c>
    </row>
    <row r="8" spans="1:48" ht="18.75" customHeight="1">
      <c r="V8" s="199" t="str">
        <f>'1'!$V$8</f>
        <v>仙台市健康福祉局障害福祉部障害者支援課長　</v>
      </c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5">
        <f t="shared" si="0"/>
        <v>8</v>
      </c>
    </row>
    <row r="9" spans="1:48" ht="18.7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5">
        <f t="shared" si="0"/>
        <v>9</v>
      </c>
    </row>
    <row r="10" spans="1:48" ht="22.5" customHeight="1">
      <c r="A10" s="203" t="str">
        <f>'1'!$A$10</f>
        <v>令和４年度仙台市障害福祉分野のICT導入モデル事業補助金の内示について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15">
        <f t="shared" si="0"/>
        <v>10</v>
      </c>
    </row>
    <row r="11" spans="1:48" ht="18.7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5">
        <f t="shared" si="0"/>
        <v>11</v>
      </c>
    </row>
    <row r="12" spans="1:48" ht="93.75" customHeight="1">
      <c r="A12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15">
        <f t="shared" si="0"/>
        <v>12</v>
      </c>
    </row>
    <row r="13" spans="1:48" ht="18.7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5">
        <f t="shared" si="0"/>
        <v>13</v>
      </c>
    </row>
    <row r="14" spans="1:48" ht="18.75" customHeight="1">
      <c r="A14" s="197" t="str">
        <f>'1'!$A$14</f>
        <v>記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5">
        <f t="shared" si="0"/>
        <v>14</v>
      </c>
    </row>
    <row r="15" spans="1:48" ht="18.7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5">
        <f t="shared" si="0"/>
        <v>15</v>
      </c>
    </row>
    <row r="16" spans="1:48" ht="18.75" customHeight="1">
      <c r="I16" s="199" t="str">
        <f>'1'!$I$16</f>
        <v>補助内示額</v>
      </c>
      <c r="J16" s="199"/>
      <c r="K16" s="199"/>
      <c r="L16" s="199"/>
      <c r="M16" s="199"/>
      <c r="N16" s="199"/>
      <c r="S16" s="206">
        <f>INDEX(送付先一覧!A:O,MATCH(AV4,送付先一覧!A:A,0),12)</f>
        <v>444000</v>
      </c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199"/>
      <c r="AG16" s="199"/>
      <c r="AH16" s="199"/>
      <c r="AI16" s="199"/>
      <c r="AR16" s="15">
        <f t="shared" si="0"/>
        <v>16</v>
      </c>
    </row>
    <row r="17" spans="1:44" ht="18.75" customHeight="1">
      <c r="I17" s="199" t="str">
        <f>'1'!$I$17</f>
        <v>事業種別</v>
      </c>
      <c r="J17" s="199"/>
      <c r="K17" s="199"/>
      <c r="L17" s="199"/>
      <c r="M17" s="199"/>
      <c r="N17" s="199"/>
      <c r="O17" s="199"/>
      <c r="P17" s="199"/>
      <c r="Q17" s="199"/>
      <c r="R17" s="199"/>
      <c r="S17" s="199" t="str">
        <f>INDEX(送付先一覧!A:O,MATCH(AV4,送付先一覧!A:A,0),9)</f>
        <v>共同生活援助</v>
      </c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R17" s="15">
        <f t="shared" si="0"/>
        <v>17</v>
      </c>
    </row>
    <row r="18" spans="1:44" ht="18.75" customHeight="1">
      <c r="I18" s="199" t="str">
        <f>'1'!$I$18</f>
        <v>事業所名</v>
      </c>
      <c r="J18" s="199"/>
      <c r="K18" s="199"/>
      <c r="L18" s="199"/>
      <c r="M18" s="199"/>
      <c r="N18" s="199"/>
      <c r="O18" s="199"/>
      <c r="P18" s="199"/>
      <c r="Q18" s="199"/>
      <c r="R18" s="199"/>
      <c r="S18" s="204" t="str">
        <f>INDEX(送付先一覧!A:O,MATCH(AV4,送付先一覧!A:A,0),8)</f>
        <v>共同生活援助グループホームノコノコ</v>
      </c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15">
        <f t="shared" si="0"/>
        <v>18</v>
      </c>
    </row>
    <row r="19" spans="1:44" ht="18.75" customHeight="1"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15">
        <f t="shared" si="0"/>
        <v>19</v>
      </c>
    </row>
    <row r="20" spans="1:44" ht="18.75" customHeight="1"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R20" s="15">
        <f t="shared" si="0"/>
        <v>20</v>
      </c>
    </row>
    <row r="21" spans="1:44" ht="18.7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5">
        <f t="shared" si="0"/>
        <v>21</v>
      </c>
    </row>
    <row r="22" spans="1:44" ht="18.75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5">
        <f t="shared" si="0"/>
        <v>22</v>
      </c>
    </row>
    <row r="23" spans="1:44" ht="18.75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5">
        <f t="shared" si="0"/>
        <v>23</v>
      </c>
    </row>
    <row r="24" spans="1:44" ht="18.75" customHeight="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5">
        <f t="shared" si="0"/>
        <v>24</v>
      </c>
    </row>
    <row r="25" spans="1:44" ht="18.7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5">
        <f t="shared" si="0"/>
        <v>25</v>
      </c>
    </row>
    <row r="26" spans="1:44" ht="18.7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5">
        <f t="shared" si="0"/>
        <v>26</v>
      </c>
    </row>
    <row r="27" spans="1:44" ht="18.75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5">
        <f t="shared" si="0"/>
        <v>27</v>
      </c>
    </row>
    <row r="28" spans="1:44" ht="18.7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5">
        <f t="shared" si="0"/>
        <v>28</v>
      </c>
    </row>
    <row r="29" spans="1:44" ht="18.75" customHeight="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5">
        <f t="shared" si="0"/>
        <v>29</v>
      </c>
    </row>
    <row r="30" spans="1:44" ht="18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5">
        <f t="shared" si="0"/>
        <v>30</v>
      </c>
    </row>
    <row r="31" spans="1:44" ht="18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5">
        <f t="shared" si="0"/>
        <v>31</v>
      </c>
    </row>
    <row r="32" spans="1:44" ht="18.75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5">
        <f t="shared" si="0"/>
        <v>32</v>
      </c>
    </row>
    <row r="33" spans="1:44" ht="18.7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5">
        <f t="shared" si="0"/>
        <v>33</v>
      </c>
    </row>
    <row r="34" spans="1:44" ht="18.7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5">
        <f t="shared" si="0"/>
        <v>34</v>
      </c>
    </row>
    <row r="35" spans="1:44" ht="18.75" customHeight="1">
      <c r="A35" s="15"/>
      <c r="B35" s="15"/>
    </row>
    <row r="36" spans="1:44" ht="16.5" customHeight="1"/>
    <row r="37" spans="1:44" ht="16.5" customHeight="1"/>
    <row r="38" spans="1:44" ht="16.5" customHeight="1"/>
    <row r="39" spans="1:44" ht="16.5" customHeight="1"/>
    <row r="40" spans="1:44" ht="16.5" customHeight="1"/>
    <row r="41" spans="1:44" ht="16.5" customHeight="1"/>
    <row r="42" spans="1:44" ht="16.5" customHeight="1"/>
    <row r="43" spans="1:44" ht="16.5" customHeight="1"/>
    <row r="44" spans="1:44" ht="16.5" customHeight="1"/>
    <row r="45" spans="1:44" ht="16.5" customHeight="1"/>
    <row r="46" spans="1:44" ht="16.5" customHeight="1"/>
    <row r="47" spans="1:44" ht="16.5" customHeight="1"/>
    <row r="48" spans="1:44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</sheetData>
  <sheetProtection formatCells="0" selectLockedCells="1"/>
  <mergeCells count="43">
    <mergeCell ref="A30:AQ30"/>
    <mergeCell ref="A31:AQ31"/>
    <mergeCell ref="A32:AQ32"/>
    <mergeCell ref="A33:AQ33"/>
    <mergeCell ref="A34:AQ34"/>
    <mergeCell ref="A29:AQ29"/>
    <mergeCell ref="I19:R19"/>
    <mergeCell ref="I20:R20"/>
    <mergeCell ref="S20:AI20"/>
    <mergeCell ref="A21:AQ21"/>
    <mergeCell ref="A22:AQ22"/>
    <mergeCell ref="A23:AQ23"/>
    <mergeCell ref="A24:AQ24"/>
    <mergeCell ref="A25:AQ25"/>
    <mergeCell ref="A26:AQ26"/>
    <mergeCell ref="A27:AQ27"/>
    <mergeCell ref="A28:AQ28"/>
    <mergeCell ref="I17:N17"/>
    <mergeCell ref="O17:R17"/>
    <mergeCell ref="S17:AP17"/>
    <mergeCell ref="I18:N18"/>
    <mergeCell ref="O18:R18"/>
    <mergeCell ref="S18:AQ18"/>
    <mergeCell ref="I16:N16"/>
    <mergeCell ref="S16:AE16"/>
    <mergeCell ref="AF16:AI16"/>
    <mergeCell ref="A5:AQ5"/>
    <mergeCell ref="A6:AQ6"/>
    <mergeCell ref="V7:AQ7"/>
    <mergeCell ref="V8:AQ8"/>
    <mergeCell ref="A9:AQ9"/>
    <mergeCell ref="A10:AQ10"/>
    <mergeCell ref="A11:AQ11"/>
    <mergeCell ref="A12:AQ12"/>
    <mergeCell ref="A13:AQ13"/>
    <mergeCell ref="A14:AQ14"/>
    <mergeCell ref="A15:AQ15"/>
    <mergeCell ref="A4:AQ4"/>
    <mergeCell ref="A1:B1"/>
    <mergeCell ref="AI1:AQ1"/>
    <mergeCell ref="A2:B2"/>
    <mergeCell ref="AI2:AQ2"/>
    <mergeCell ref="A3:AQ3"/>
  </mergeCells>
  <phoneticPr fontId="1"/>
  <pageMargins left="0.98425196850393704" right="0.98425196850393704" top="1.3779527559055118" bottom="1.1811023622047245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4">
    <tabColor rgb="FFFFC000"/>
  </sheetPr>
  <dimension ref="A1:AV194"/>
  <sheetViews>
    <sheetView showGridLines="0" view="pageBreakPreview" zoomScaleNormal="100" zoomScaleSheetLayoutView="100" workbookViewId="0">
      <selection activeCell="V7" sqref="V7:AQ7"/>
    </sheetView>
  </sheetViews>
  <sheetFormatPr defaultColWidth="9" defaultRowHeight="22.5" customHeight="1"/>
  <cols>
    <col min="1" max="43" width="1.90625" style="13" customWidth="1"/>
    <col min="44" max="44" width="3.36328125" style="15" customWidth="1"/>
    <col min="45" max="47" width="1.90625" style="13" customWidth="1"/>
    <col min="48" max="48" width="6.26953125" style="13" customWidth="1"/>
    <col min="49" max="49" width="25" style="13" customWidth="1"/>
    <col min="50" max="16384" width="9" style="13"/>
  </cols>
  <sheetData>
    <row r="1" spans="1:48" ht="16.5" customHeight="1">
      <c r="A1" s="197"/>
      <c r="B1" s="197"/>
      <c r="AI1" s="200" t="str">
        <f>'1'!$AI$1</f>
        <v>R4健障障第100号</v>
      </c>
      <c r="AJ1" s="200"/>
      <c r="AK1" s="200"/>
      <c r="AL1" s="200"/>
      <c r="AM1" s="200"/>
      <c r="AN1" s="200"/>
      <c r="AO1" s="200"/>
      <c r="AP1" s="200"/>
      <c r="AQ1" s="200"/>
      <c r="AR1" s="15">
        <v>1</v>
      </c>
    </row>
    <row r="2" spans="1:48" ht="16.5" customHeight="1">
      <c r="A2" s="197"/>
      <c r="B2" s="197"/>
      <c r="AI2" s="201">
        <f>'1'!$AI$2</f>
        <v>44677</v>
      </c>
      <c r="AJ2" s="201"/>
      <c r="AK2" s="201"/>
      <c r="AL2" s="201"/>
      <c r="AM2" s="201"/>
      <c r="AN2" s="201"/>
      <c r="AO2" s="201"/>
      <c r="AP2" s="201"/>
      <c r="AQ2" s="201"/>
      <c r="AR2" s="15">
        <f>AR1+1</f>
        <v>2</v>
      </c>
    </row>
    <row r="3" spans="1:48" ht="18.7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5">
        <f t="shared" ref="AR3:AR34" si="0">AR2+1</f>
        <v>3</v>
      </c>
    </row>
    <row r="4" spans="1:48" ht="18.75" customHeight="1">
      <c r="A4" s="199" t="str">
        <f>INDEX(送付先一覧!A:O,MATCH(AV4,送付先一覧!A:A,0),4)</f>
        <v>社会福祉法人　ふれあいの森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5">
        <f t="shared" si="0"/>
        <v>4</v>
      </c>
      <c r="AV4" s="65">
        <v>17</v>
      </c>
    </row>
    <row r="5" spans="1:48" ht="18.75" customHeight="1">
      <c r="A5" s="202" t="str">
        <f>INDEX(送付先一覧!A:O,MATCH(AV4,送付先一覧!A:A,0),5)</f>
        <v>理事長　早坂　忠美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15">
        <f t="shared" si="0"/>
        <v>5</v>
      </c>
    </row>
    <row r="6" spans="1:48" ht="18.75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5">
        <f t="shared" si="0"/>
        <v>6</v>
      </c>
    </row>
    <row r="7" spans="1:48" ht="18.75" customHeight="1">
      <c r="V7" s="199" t="str">
        <f>'1'!$V$7</f>
        <v>仙台市健康福祉局障害福祉部障害企画課長　　</v>
      </c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5">
        <f t="shared" si="0"/>
        <v>7</v>
      </c>
    </row>
    <row r="8" spans="1:48" ht="18.75" customHeight="1">
      <c r="V8" s="199" t="str">
        <f>'1'!$V$8</f>
        <v>仙台市健康福祉局障害福祉部障害者支援課長　</v>
      </c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5">
        <f t="shared" si="0"/>
        <v>8</v>
      </c>
    </row>
    <row r="9" spans="1:48" ht="18.7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5">
        <f t="shared" si="0"/>
        <v>9</v>
      </c>
    </row>
    <row r="10" spans="1:48" ht="22.5" customHeight="1">
      <c r="A10" s="203" t="str">
        <f>'1'!$A$10</f>
        <v>令和４年度仙台市障害福祉分野のICT導入モデル事業補助金の内示について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15">
        <f t="shared" si="0"/>
        <v>10</v>
      </c>
    </row>
    <row r="11" spans="1:48" ht="18.7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5">
        <f t="shared" si="0"/>
        <v>11</v>
      </c>
    </row>
    <row r="12" spans="1:48" ht="93.75" customHeight="1">
      <c r="A12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15">
        <f t="shared" si="0"/>
        <v>12</v>
      </c>
    </row>
    <row r="13" spans="1:48" ht="18.7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5">
        <f t="shared" si="0"/>
        <v>13</v>
      </c>
    </row>
    <row r="14" spans="1:48" ht="18.75" customHeight="1">
      <c r="A14" s="197" t="str">
        <f>'1'!$A$14</f>
        <v>記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5">
        <f t="shared" si="0"/>
        <v>14</v>
      </c>
    </row>
    <row r="15" spans="1:48" ht="18.7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5">
        <f t="shared" si="0"/>
        <v>15</v>
      </c>
    </row>
    <row r="16" spans="1:48" ht="18.75" customHeight="1">
      <c r="I16" s="199" t="str">
        <f>'1'!$I$16</f>
        <v>補助内示額</v>
      </c>
      <c r="J16" s="199"/>
      <c r="K16" s="199"/>
      <c r="L16" s="199"/>
      <c r="M16" s="199"/>
      <c r="N16" s="199"/>
      <c r="S16" s="206">
        <f>INDEX(送付先一覧!A:O,MATCH(AV4,送付先一覧!A:A,0),12)</f>
        <v>666000</v>
      </c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199"/>
      <c r="AG16" s="199"/>
      <c r="AH16" s="199"/>
      <c r="AI16" s="199"/>
      <c r="AR16" s="15">
        <f t="shared" si="0"/>
        <v>16</v>
      </c>
    </row>
    <row r="17" spans="1:44" ht="18.75" customHeight="1">
      <c r="I17" s="199" t="str">
        <f>'1'!$I$17</f>
        <v>事業種別</v>
      </c>
      <c r="J17" s="199"/>
      <c r="K17" s="199"/>
      <c r="L17" s="199"/>
      <c r="M17" s="199"/>
      <c r="N17" s="199"/>
      <c r="O17" s="199"/>
      <c r="P17" s="199"/>
      <c r="Q17" s="199"/>
      <c r="R17" s="199"/>
      <c r="S17" s="199" t="str">
        <f>INDEX(送付先一覧!A:O,MATCH(AV4,送付先一覧!A:A,0),9)</f>
        <v>就労継続支援B型</v>
      </c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R17" s="15">
        <f t="shared" si="0"/>
        <v>17</v>
      </c>
    </row>
    <row r="18" spans="1:44" ht="18.75" customHeight="1">
      <c r="I18" s="199" t="str">
        <f>'1'!$I$18</f>
        <v>事業所名</v>
      </c>
      <c r="J18" s="199"/>
      <c r="K18" s="199"/>
      <c r="L18" s="199"/>
      <c r="M18" s="199"/>
      <c r="N18" s="199"/>
      <c r="O18" s="199"/>
      <c r="P18" s="199"/>
      <c r="Q18" s="199"/>
      <c r="R18" s="199"/>
      <c r="S18" s="204" t="str">
        <f>INDEX(送付先一覧!A:O,MATCH(AV4,送付先一覧!A:A,0),8)</f>
        <v>多機能型事業所　向日葵ファミリー</v>
      </c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15">
        <f t="shared" si="0"/>
        <v>18</v>
      </c>
    </row>
    <row r="19" spans="1:44" ht="18.75" customHeight="1"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15">
        <f t="shared" si="0"/>
        <v>19</v>
      </c>
    </row>
    <row r="20" spans="1:44" ht="18.75" customHeight="1"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R20" s="15">
        <f t="shared" si="0"/>
        <v>20</v>
      </c>
    </row>
    <row r="21" spans="1:44" ht="18.7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5">
        <f t="shared" si="0"/>
        <v>21</v>
      </c>
    </row>
    <row r="22" spans="1:44" ht="18.75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5">
        <f t="shared" si="0"/>
        <v>22</v>
      </c>
    </row>
    <row r="23" spans="1:44" ht="18.75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5">
        <f t="shared" si="0"/>
        <v>23</v>
      </c>
    </row>
    <row r="24" spans="1:44" ht="18.75" customHeight="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5">
        <f t="shared" si="0"/>
        <v>24</v>
      </c>
    </row>
    <row r="25" spans="1:44" ht="18.7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5">
        <f t="shared" si="0"/>
        <v>25</v>
      </c>
    </row>
    <row r="26" spans="1:44" ht="18.7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5">
        <f t="shared" si="0"/>
        <v>26</v>
      </c>
    </row>
    <row r="27" spans="1:44" ht="18.75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5">
        <f t="shared" si="0"/>
        <v>27</v>
      </c>
    </row>
    <row r="28" spans="1:44" ht="18.7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5">
        <f t="shared" si="0"/>
        <v>28</v>
      </c>
    </row>
    <row r="29" spans="1:44" ht="18.75" customHeight="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5">
        <f t="shared" si="0"/>
        <v>29</v>
      </c>
    </row>
    <row r="30" spans="1:44" ht="18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5">
        <f t="shared" si="0"/>
        <v>30</v>
      </c>
    </row>
    <row r="31" spans="1:44" ht="18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5">
        <f t="shared" si="0"/>
        <v>31</v>
      </c>
    </row>
    <row r="32" spans="1:44" ht="18.75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5">
        <f t="shared" si="0"/>
        <v>32</v>
      </c>
    </row>
    <row r="33" spans="1:48" ht="18.7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5">
        <f t="shared" si="0"/>
        <v>33</v>
      </c>
    </row>
    <row r="34" spans="1:48" ht="18.7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5">
        <f t="shared" si="0"/>
        <v>34</v>
      </c>
    </row>
    <row r="35" spans="1:48" ht="16.5" customHeight="1">
      <c r="A35" s="197"/>
      <c r="B35" s="197"/>
      <c r="AI35" s="200" t="str">
        <f>'1'!$AI$1</f>
        <v>R4健障障第100号</v>
      </c>
      <c r="AJ35" s="200"/>
      <c r="AK35" s="200"/>
      <c r="AL35" s="200"/>
      <c r="AM35" s="200"/>
      <c r="AN35" s="200"/>
      <c r="AO35" s="200"/>
      <c r="AP35" s="200"/>
      <c r="AQ35" s="200"/>
      <c r="AR35" s="15">
        <v>1</v>
      </c>
    </row>
    <row r="36" spans="1:48" ht="16.5" customHeight="1">
      <c r="A36" s="197"/>
      <c r="B36" s="197"/>
      <c r="AI36" s="201">
        <f>'1'!$AI$2</f>
        <v>44677</v>
      </c>
      <c r="AJ36" s="201"/>
      <c r="AK36" s="201"/>
      <c r="AL36" s="201"/>
      <c r="AM36" s="201"/>
      <c r="AN36" s="201"/>
      <c r="AO36" s="201"/>
      <c r="AP36" s="201"/>
      <c r="AQ36" s="201"/>
      <c r="AR36" s="15">
        <f>AR35+1</f>
        <v>2</v>
      </c>
    </row>
    <row r="37" spans="1:48" ht="18.75" customHeight="1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5">
        <f t="shared" ref="AR37:AR68" si="1">AR36+1</f>
        <v>3</v>
      </c>
    </row>
    <row r="38" spans="1:48" ht="18.75" customHeight="1">
      <c r="A38" s="199" t="str">
        <f>INDEX(送付先一覧!A:O,MATCH(AV38,送付先一覧!A:A,0),4)</f>
        <v>社会福祉法人　ふれあいの森</v>
      </c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5">
        <f t="shared" si="1"/>
        <v>4</v>
      </c>
      <c r="AV38" s="65">
        <f>AV4+1</f>
        <v>18</v>
      </c>
    </row>
    <row r="39" spans="1:48" ht="18.75" customHeight="1">
      <c r="A39" s="202" t="str">
        <f>INDEX(送付先一覧!A:O,MATCH(AV38,送付先一覧!A:A,0),5)</f>
        <v>理事長　早坂　忠美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15">
        <f t="shared" si="1"/>
        <v>5</v>
      </c>
    </row>
    <row r="40" spans="1:48" ht="18.75" customHeight="1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5">
        <f t="shared" si="1"/>
        <v>6</v>
      </c>
    </row>
    <row r="41" spans="1:48" ht="18.75" customHeight="1">
      <c r="V41" s="199" t="str">
        <f>'1'!$V$7</f>
        <v>仙台市健康福祉局障害福祉部障害企画課長　　</v>
      </c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5">
        <f t="shared" si="1"/>
        <v>7</v>
      </c>
    </row>
    <row r="42" spans="1:48" ht="18.75" customHeight="1">
      <c r="V42" s="199" t="str">
        <f>'1'!$V$8</f>
        <v>仙台市健康福祉局障害福祉部障害者支援課長　</v>
      </c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5">
        <f t="shared" si="1"/>
        <v>8</v>
      </c>
    </row>
    <row r="43" spans="1:48" ht="18.75" customHeight="1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5">
        <f t="shared" si="1"/>
        <v>9</v>
      </c>
    </row>
    <row r="44" spans="1:48" ht="22.5" customHeight="1">
      <c r="A44" s="203" t="str">
        <f>'1'!$A$10</f>
        <v>令和４年度仙台市障害福祉分野のICT導入モデル事業補助金の内示について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15">
        <f t="shared" si="1"/>
        <v>10</v>
      </c>
    </row>
    <row r="45" spans="1:48" ht="18.75" customHeight="1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5">
        <f t="shared" si="1"/>
        <v>11</v>
      </c>
    </row>
    <row r="46" spans="1:48" ht="93.75" customHeight="1">
      <c r="A46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15">
        <f t="shared" si="1"/>
        <v>12</v>
      </c>
    </row>
    <row r="47" spans="1:48" ht="18.75" customHeight="1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5">
        <f t="shared" si="1"/>
        <v>13</v>
      </c>
    </row>
    <row r="48" spans="1:48" ht="18.75" customHeight="1">
      <c r="A48" s="197" t="str">
        <f>'1'!$A$14</f>
        <v>記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5">
        <f t="shared" si="1"/>
        <v>14</v>
      </c>
    </row>
    <row r="49" spans="1:44" ht="18.75" customHeight="1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5">
        <f t="shared" si="1"/>
        <v>15</v>
      </c>
    </row>
    <row r="50" spans="1:44" ht="18.75" customHeight="1">
      <c r="I50" s="199" t="str">
        <f>'1'!$I$16</f>
        <v>補助内示額</v>
      </c>
      <c r="J50" s="199"/>
      <c r="K50" s="199"/>
      <c r="L50" s="199"/>
      <c r="M50" s="199"/>
      <c r="N50" s="199"/>
      <c r="S50" s="206">
        <f>INDEX(送付先一覧!A:O,MATCH(AV38,送付先一覧!A:A,0),12)</f>
        <v>666000</v>
      </c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199"/>
      <c r="AG50" s="199"/>
      <c r="AH50" s="199"/>
      <c r="AI50" s="199"/>
      <c r="AR50" s="15">
        <f t="shared" si="1"/>
        <v>16</v>
      </c>
    </row>
    <row r="51" spans="1:44" ht="18.75" customHeight="1">
      <c r="I51" s="199" t="str">
        <f>'1'!$I$17</f>
        <v>事業種別</v>
      </c>
      <c r="J51" s="199"/>
      <c r="K51" s="199"/>
      <c r="L51" s="199"/>
      <c r="M51" s="199"/>
      <c r="N51" s="199"/>
      <c r="O51" s="199"/>
      <c r="P51" s="199"/>
      <c r="Q51" s="199"/>
      <c r="R51" s="199"/>
      <c r="S51" s="199" t="str">
        <f>INDEX(送付先一覧!A:O,MATCH(AV38,送付先一覧!A:A,0),9)</f>
        <v>計画相談支援</v>
      </c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R51" s="15">
        <f t="shared" si="1"/>
        <v>17</v>
      </c>
    </row>
    <row r="52" spans="1:44" ht="18.75" customHeight="1">
      <c r="I52" s="199" t="str">
        <f>'1'!$I$18</f>
        <v>事業所名</v>
      </c>
      <c r="J52" s="199"/>
      <c r="K52" s="199"/>
      <c r="L52" s="199"/>
      <c r="M52" s="199"/>
      <c r="N52" s="199"/>
      <c r="O52" s="199"/>
      <c r="P52" s="199"/>
      <c r="Q52" s="199"/>
      <c r="R52" s="199"/>
      <c r="S52" s="204" t="str">
        <f>INDEX(送付先一覧!A:O,MATCH(AV38,送付先一覧!A:A,0),8)</f>
        <v>障害者相談支援事業所 向日葵ライフサポートセンター</v>
      </c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15">
        <f t="shared" si="1"/>
        <v>18</v>
      </c>
    </row>
    <row r="53" spans="1:44" ht="18.75" customHeight="1"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15">
        <f t="shared" si="1"/>
        <v>19</v>
      </c>
    </row>
    <row r="54" spans="1:44" ht="18.75" customHeight="1"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198"/>
      <c r="AR54" s="15">
        <f t="shared" si="1"/>
        <v>20</v>
      </c>
    </row>
    <row r="55" spans="1:44" ht="18.75" customHeight="1">
      <c r="A55" s="198"/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5">
        <f t="shared" si="1"/>
        <v>21</v>
      </c>
    </row>
    <row r="56" spans="1:44" ht="18.75" customHeight="1">
      <c r="A56" s="198"/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5">
        <f t="shared" si="1"/>
        <v>22</v>
      </c>
    </row>
    <row r="57" spans="1:44" ht="18.75" customHeight="1">
      <c r="A57" s="198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5">
        <f t="shared" si="1"/>
        <v>23</v>
      </c>
    </row>
    <row r="58" spans="1:44" ht="18.75" customHeight="1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5">
        <f t="shared" si="1"/>
        <v>24</v>
      </c>
    </row>
    <row r="59" spans="1:44" ht="18.75" customHeight="1">
      <c r="A59" s="198"/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5">
        <f t="shared" si="1"/>
        <v>25</v>
      </c>
    </row>
    <row r="60" spans="1:44" ht="18.75" customHeight="1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5">
        <f t="shared" si="1"/>
        <v>26</v>
      </c>
    </row>
    <row r="61" spans="1:44" ht="18.75" customHeight="1">
      <c r="A61" s="198"/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5">
        <f t="shared" si="1"/>
        <v>27</v>
      </c>
    </row>
    <row r="62" spans="1:44" ht="18.75" customHeight="1">
      <c r="A62" s="198"/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5">
        <f t="shared" si="1"/>
        <v>28</v>
      </c>
    </row>
    <row r="63" spans="1:44" ht="18.75" customHeight="1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5">
        <f t="shared" si="1"/>
        <v>29</v>
      </c>
    </row>
    <row r="64" spans="1:44" ht="18.75" customHeight="1">
      <c r="A64" s="198"/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5">
        <f t="shared" si="1"/>
        <v>30</v>
      </c>
    </row>
    <row r="65" spans="1:48" ht="18.75" customHeight="1">
      <c r="A65" s="198"/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5">
        <f t="shared" si="1"/>
        <v>31</v>
      </c>
    </row>
    <row r="66" spans="1:48" ht="18.75" customHeight="1">
      <c r="A66" s="198"/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5">
        <f t="shared" si="1"/>
        <v>32</v>
      </c>
    </row>
    <row r="67" spans="1:48" ht="18.75" customHeight="1">
      <c r="A67" s="198"/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5">
        <f t="shared" si="1"/>
        <v>33</v>
      </c>
    </row>
    <row r="68" spans="1:48" ht="18.75" customHeight="1">
      <c r="A68" s="198"/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5">
        <f t="shared" si="1"/>
        <v>34</v>
      </c>
    </row>
    <row r="69" spans="1:48" ht="16.5" customHeight="1">
      <c r="A69" s="197"/>
      <c r="B69" s="197"/>
      <c r="AI69" s="200" t="str">
        <f>'1'!$AI$1</f>
        <v>R4健障障第100号</v>
      </c>
      <c r="AJ69" s="200"/>
      <c r="AK69" s="200"/>
      <c r="AL69" s="200"/>
      <c r="AM69" s="200"/>
      <c r="AN69" s="200"/>
      <c r="AO69" s="200"/>
      <c r="AP69" s="200"/>
      <c r="AQ69" s="200"/>
      <c r="AR69" s="15">
        <v>1</v>
      </c>
    </row>
    <row r="70" spans="1:48" ht="16.5" customHeight="1">
      <c r="A70" s="197"/>
      <c r="B70" s="197"/>
      <c r="AI70" s="201">
        <f>'1'!$AI$2</f>
        <v>44677</v>
      </c>
      <c r="AJ70" s="201"/>
      <c r="AK70" s="201"/>
      <c r="AL70" s="201"/>
      <c r="AM70" s="201"/>
      <c r="AN70" s="201"/>
      <c r="AO70" s="201"/>
      <c r="AP70" s="201"/>
      <c r="AQ70" s="201"/>
      <c r="AR70" s="15">
        <f>AR69+1</f>
        <v>2</v>
      </c>
    </row>
    <row r="71" spans="1:48" ht="18.75" customHeight="1">
      <c r="A71" s="198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5">
        <f t="shared" ref="AR71:AR102" si="2">AR70+1</f>
        <v>3</v>
      </c>
    </row>
    <row r="72" spans="1:48" ht="18.75" customHeight="1">
      <c r="A72" s="199" t="str">
        <f>INDEX(送付先一覧!A:O,MATCH(AV72,送付先一覧!A:A,0),4)</f>
        <v>社会福祉法人　ふれあいの森</v>
      </c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5">
        <f t="shared" si="2"/>
        <v>4</v>
      </c>
      <c r="AV72" s="65">
        <f>AV38+1</f>
        <v>19</v>
      </c>
    </row>
    <row r="73" spans="1:48" ht="18.75" customHeight="1">
      <c r="A73" s="202" t="str">
        <f>INDEX(送付先一覧!A:O,MATCH(AV72,送付先一覧!A:A,0),5)</f>
        <v>理事長　早坂　忠美</v>
      </c>
      <c r="B73" s="202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202"/>
      <c r="AD73" s="202"/>
      <c r="AE73" s="202"/>
      <c r="AF73" s="202"/>
      <c r="AG73" s="202"/>
      <c r="AH73" s="202"/>
      <c r="AI73" s="202"/>
      <c r="AJ73" s="202"/>
      <c r="AK73" s="202"/>
      <c r="AL73" s="202"/>
      <c r="AM73" s="202"/>
      <c r="AN73" s="202"/>
      <c r="AO73" s="202"/>
      <c r="AP73" s="202"/>
      <c r="AQ73" s="202"/>
      <c r="AR73" s="15">
        <f t="shared" si="2"/>
        <v>5</v>
      </c>
    </row>
    <row r="74" spans="1:48" ht="18.75" customHeight="1">
      <c r="A74" s="198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5">
        <f t="shared" si="2"/>
        <v>6</v>
      </c>
    </row>
    <row r="75" spans="1:48" ht="18.75" customHeight="1">
      <c r="V75" s="199" t="str">
        <f>'1'!$V$7</f>
        <v>仙台市健康福祉局障害福祉部障害企画課長　　</v>
      </c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5">
        <f t="shared" si="2"/>
        <v>7</v>
      </c>
    </row>
    <row r="76" spans="1:48" ht="18.75" customHeight="1">
      <c r="V76" s="199" t="str">
        <f>'1'!$V$8</f>
        <v>仙台市健康福祉局障害福祉部障害者支援課長　</v>
      </c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5">
        <f t="shared" si="2"/>
        <v>8</v>
      </c>
    </row>
    <row r="77" spans="1:48" ht="18.75" customHeight="1">
      <c r="A77" s="198"/>
      <c r="B77" s="198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5">
        <f t="shared" si="2"/>
        <v>9</v>
      </c>
    </row>
    <row r="78" spans="1:48" ht="22.5" customHeight="1">
      <c r="A78" s="203" t="str">
        <f>'1'!$A$10</f>
        <v>令和４年度仙台市障害福祉分野のICT導入モデル事業補助金の内示について</v>
      </c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15">
        <f t="shared" si="2"/>
        <v>10</v>
      </c>
    </row>
    <row r="79" spans="1:48" ht="18.75" customHeight="1">
      <c r="A79" s="198"/>
      <c r="B79" s="198"/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5">
        <f t="shared" si="2"/>
        <v>11</v>
      </c>
    </row>
    <row r="80" spans="1:48" ht="93.75" customHeight="1">
      <c r="A80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80" s="205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5">
        <f t="shared" si="2"/>
        <v>12</v>
      </c>
    </row>
    <row r="81" spans="1:44" ht="18.75" customHeight="1">
      <c r="A81" s="198"/>
      <c r="B81" s="198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5">
        <f t="shared" si="2"/>
        <v>13</v>
      </c>
    </row>
    <row r="82" spans="1:44" ht="18.75" customHeight="1">
      <c r="A82" s="197" t="str">
        <f>'1'!$A$14</f>
        <v>記</v>
      </c>
      <c r="B82" s="197"/>
      <c r="C82" s="197"/>
      <c r="D82" s="197"/>
      <c r="E82" s="197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5">
        <f t="shared" si="2"/>
        <v>14</v>
      </c>
    </row>
    <row r="83" spans="1:44" ht="18.75" customHeight="1">
      <c r="A83" s="198"/>
      <c r="B83" s="198"/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5">
        <f t="shared" si="2"/>
        <v>15</v>
      </c>
    </row>
    <row r="84" spans="1:44" ht="18.75" customHeight="1">
      <c r="I84" s="199" t="str">
        <f>'1'!$I$16</f>
        <v>補助内示額</v>
      </c>
      <c r="J84" s="199"/>
      <c r="K84" s="199"/>
      <c r="L84" s="199"/>
      <c r="M84" s="199"/>
      <c r="N84" s="199"/>
      <c r="S84" s="206">
        <f>INDEX(送付先一覧!A:O,MATCH(AV72,送付先一覧!A:A,0),12)</f>
        <v>666000</v>
      </c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199"/>
      <c r="AG84" s="199"/>
      <c r="AH84" s="199"/>
      <c r="AI84" s="199"/>
      <c r="AR84" s="15">
        <f t="shared" si="2"/>
        <v>16</v>
      </c>
    </row>
    <row r="85" spans="1:44" ht="18.75" customHeight="1">
      <c r="I85" s="199" t="str">
        <f>'1'!$I$17</f>
        <v>事業種別</v>
      </c>
      <c r="J85" s="199"/>
      <c r="K85" s="199"/>
      <c r="L85" s="199"/>
      <c r="M85" s="199"/>
      <c r="N85" s="199"/>
      <c r="O85" s="199"/>
      <c r="P85" s="199"/>
      <c r="Q85" s="199"/>
      <c r="R85" s="199"/>
      <c r="S85" s="199" t="str">
        <f>INDEX(送付先一覧!A:O,MATCH(AV72,送付先一覧!A:A,0),9)</f>
        <v>共同生活援助</v>
      </c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R85" s="15">
        <f t="shared" si="2"/>
        <v>17</v>
      </c>
    </row>
    <row r="86" spans="1:44" ht="18.75" customHeight="1">
      <c r="I86" s="199" t="str">
        <f>'1'!$I$18</f>
        <v>事業所名</v>
      </c>
      <c r="J86" s="199"/>
      <c r="K86" s="199"/>
      <c r="L86" s="199"/>
      <c r="M86" s="199"/>
      <c r="N86" s="199"/>
      <c r="O86" s="199"/>
      <c r="P86" s="199"/>
      <c r="Q86" s="199"/>
      <c r="R86" s="199"/>
      <c r="S86" s="204" t="str">
        <f>INDEX(送付先一覧!A:O,MATCH(AV72,送付先一覧!A:A,0),8)</f>
        <v>共同生活援助事業所　グループホームふくろばら</v>
      </c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15">
        <f t="shared" si="2"/>
        <v>18</v>
      </c>
    </row>
    <row r="87" spans="1:44" ht="18.75" customHeight="1">
      <c r="I87" s="198"/>
      <c r="J87" s="198"/>
      <c r="K87" s="198"/>
      <c r="L87" s="198"/>
      <c r="M87" s="198"/>
      <c r="N87" s="198"/>
      <c r="O87" s="198"/>
      <c r="P87" s="198"/>
      <c r="Q87" s="198"/>
      <c r="R87" s="198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15">
        <f t="shared" si="2"/>
        <v>19</v>
      </c>
    </row>
    <row r="88" spans="1:44" ht="18.75" customHeight="1">
      <c r="I88" s="198"/>
      <c r="J88" s="198"/>
      <c r="K88" s="198"/>
      <c r="L88" s="198"/>
      <c r="M88" s="198"/>
      <c r="N88" s="198"/>
      <c r="O88" s="198"/>
      <c r="P88" s="198"/>
      <c r="Q88" s="198"/>
      <c r="R88" s="198"/>
      <c r="S88" s="198"/>
      <c r="T88" s="198"/>
      <c r="U88" s="198"/>
      <c r="V88" s="198"/>
      <c r="W88" s="198"/>
      <c r="X88" s="198"/>
      <c r="Y88" s="198"/>
      <c r="Z88" s="198"/>
      <c r="AA88" s="198"/>
      <c r="AB88" s="198"/>
      <c r="AC88" s="198"/>
      <c r="AD88" s="198"/>
      <c r="AE88" s="198"/>
      <c r="AF88" s="198"/>
      <c r="AG88" s="198"/>
      <c r="AH88" s="198"/>
      <c r="AI88" s="198"/>
      <c r="AR88" s="15">
        <f t="shared" si="2"/>
        <v>20</v>
      </c>
    </row>
    <row r="89" spans="1:44" ht="18.75" customHeight="1">
      <c r="A89" s="198"/>
      <c r="B89" s="198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198"/>
      <c r="Q89" s="198"/>
      <c r="R89" s="198"/>
      <c r="S89" s="198"/>
      <c r="T89" s="198"/>
      <c r="U89" s="198"/>
      <c r="V89" s="198"/>
      <c r="W89" s="198"/>
      <c r="X89" s="198"/>
      <c r="Y89" s="198"/>
      <c r="Z89" s="198"/>
      <c r="AA89" s="198"/>
      <c r="AB89" s="198"/>
      <c r="AC89" s="198"/>
      <c r="AD89" s="198"/>
      <c r="AE89" s="198"/>
      <c r="AF89" s="198"/>
      <c r="AG89" s="198"/>
      <c r="AH89" s="198"/>
      <c r="AI89" s="198"/>
      <c r="AJ89" s="198"/>
      <c r="AK89" s="198"/>
      <c r="AL89" s="198"/>
      <c r="AM89" s="198"/>
      <c r="AN89" s="198"/>
      <c r="AO89" s="198"/>
      <c r="AP89" s="198"/>
      <c r="AQ89" s="198"/>
      <c r="AR89" s="15">
        <f t="shared" si="2"/>
        <v>21</v>
      </c>
    </row>
    <row r="90" spans="1:44" ht="18.75" customHeight="1">
      <c r="A90" s="198"/>
      <c r="B90" s="198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  <c r="AA90" s="198"/>
      <c r="AB90" s="198"/>
      <c r="AC90" s="198"/>
      <c r="AD90" s="198"/>
      <c r="AE90" s="198"/>
      <c r="AF90" s="198"/>
      <c r="AG90" s="198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5">
        <f t="shared" si="2"/>
        <v>22</v>
      </c>
    </row>
    <row r="91" spans="1:44" ht="18.75" customHeight="1">
      <c r="A91" s="198"/>
      <c r="B91" s="198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8"/>
      <c r="Q91" s="198"/>
      <c r="R91" s="198"/>
      <c r="S91" s="198"/>
      <c r="T91" s="198"/>
      <c r="U91" s="198"/>
      <c r="V91" s="198"/>
      <c r="W91" s="198"/>
      <c r="X91" s="198"/>
      <c r="Y91" s="198"/>
      <c r="Z91" s="198"/>
      <c r="AA91" s="198"/>
      <c r="AB91" s="198"/>
      <c r="AC91" s="198"/>
      <c r="AD91" s="198"/>
      <c r="AE91" s="198"/>
      <c r="AF91" s="198"/>
      <c r="AG91" s="198"/>
      <c r="AH91" s="198"/>
      <c r="AI91" s="198"/>
      <c r="AJ91" s="198"/>
      <c r="AK91" s="198"/>
      <c r="AL91" s="198"/>
      <c r="AM91" s="198"/>
      <c r="AN91" s="198"/>
      <c r="AO91" s="198"/>
      <c r="AP91" s="198"/>
      <c r="AQ91" s="198"/>
      <c r="AR91" s="15">
        <f t="shared" si="2"/>
        <v>23</v>
      </c>
    </row>
    <row r="92" spans="1:44" ht="18.75" customHeight="1">
      <c r="A92" s="198"/>
      <c r="B92" s="198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198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5">
        <f t="shared" si="2"/>
        <v>24</v>
      </c>
    </row>
    <row r="93" spans="1:44" ht="18.75" customHeight="1">
      <c r="A93" s="198"/>
      <c r="B93" s="198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198"/>
      <c r="Y93" s="198"/>
      <c r="Z93" s="198"/>
      <c r="AA93" s="198"/>
      <c r="AB93" s="198"/>
      <c r="AC93" s="198"/>
      <c r="AD93" s="198"/>
      <c r="AE93" s="198"/>
      <c r="AF93" s="198"/>
      <c r="AG93" s="198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5">
        <f t="shared" si="2"/>
        <v>25</v>
      </c>
    </row>
    <row r="94" spans="1:44" ht="18.75" customHeight="1">
      <c r="A94" s="198"/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98"/>
      <c r="AE94" s="198"/>
      <c r="AF94" s="198"/>
      <c r="AG94" s="198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5">
        <f t="shared" si="2"/>
        <v>26</v>
      </c>
    </row>
    <row r="95" spans="1:44" ht="18.75" customHeight="1">
      <c r="A95" s="198"/>
      <c r="B95" s="198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8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5">
        <f t="shared" si="2"/>
        <v>27</v>
      </c>
    </row>
    <row r="96" spans="1:44" ht="18.75" customHeight="1">
      <c r="A96" s="198"/>
      <c r="B96" s="198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5">
        <f t="shared" si="2"/>
        <v>28</v>
      </c>
    </row>
    <row r="97" spans="1:44" ht="18.75" customHeight="1">
      <c r="A97" s="198"/>
      <c r="B97" s="198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198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5">
        <f t="shared" si="2"/>
        <v>29</v>
      </c>
    </row>
    <row r="98" spans="1:44" ht="18.75" customHeight="1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5">
        <f t="shared" si="2"/>
        <v>30</v>
      </c>
    </row>
    <row r="99" spans="1:44" ht="18.75" customHeight="1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5">
        <f t="shared" si="2"/>
        <v>31</v>
      </c>
    </row>
    <row r="100" spans="1:44" ht="18.75" customHeight="1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5">
        <f t="shared" si="2"/>
        <v>32</v>
      </c>
    </row>
    <row r="101" spans="1:44" ht="18.75" customHeight="1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5">
        <f t="shared" si="2"/>
        <v>33</v>
      </c>
    </row>
    <row r="102" spans="1:44" ht="18.75" customHeight="1">
      <c r="A102" s="198"/>
      <c r="B102" s="198"/>
      <c r="C102" s="198"/>
      <c r="D102" s="198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5">
        <f t="shared" si="2"/>
        <v>34</v>
      </c>
    </row>
    <row r="103" spans="1:44" ht="18.75" customHeight="1">
      <c r="A103" s="15"/>
      <c r="B103" s="15"/>
    </row>
    <row r="104" spans="1:44" ht="16.5" customHeight="1"/>
    <row r="105" spans="1:44" ht="16.5" customHeight="1"/>
    <row r="106" spans="1:44" ht="16.5" customHeight="1"/>
    <row r="107" spans="1:44" ht="16.5" customHeight="1"/>
    <row r="108" spans="1:44" ht="16.5" customHeight="1"/>
    <row r="109" spans="1:44" ht="16.5" customHeight="1"/>
    <row r="110" spans="1:44" ht="16.5" customHeight="1"/>
    <row r="111" spans="1:44" ht="16.5" customHeight="1"/>
    <row r="112" spans="1:44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</sheetData>
  <sheetProtection formatCells="0" selectLockedCells="1"/>
  <mergeCells count="129">
    <mergeCell ref="A98:AQ98"/>
    <mergeCell ref="A99:AQ99"/>
    <mergeCell ref="A100:AQ100"/>
    <mergeCell ref="A101:AQ101"/>
    <mergeCell ref="A102:AQ102"/>
    <mergeCell ref="A92:AQ92"/>
    <mergeCell ref="A93:AQ93"/>
    <mergeCell ref="A94:AQ94"/>
    <mergeCell ref="A95:AQ95"/>
    <mergeCell ref="A96:AQ96"/>
    <mergeCell ref="A97:AQ97"/>
    <mergeCell ref="I87:R87"/>
    <mergeCell ref="I88:R88"/>
    <mergeCell ref="S88:AI88"/>
    <mergeCell ref="A89:AQ89"/>
    <mergeCell ref="A90:AQ90"/>
    <mergeCell ref="A91:AQ91"/>
    <mergeCell ref="I85:N85"/>
    <mergeCell ref="O85:R85"/>
    <mergeCell ref="S85:AP85"/>
    <mergeCell ref="I86:N86"/>
    <mergeCell ref="O86:R86"/>
    <mergeCell ref="S86:AQ86"/>
    <mergeCell ref="A81:AQ81"/>
    <mergeCell ref="A82:AQ82"/>
    <mergeCell ref="A83:AQ83"/>
    <mergeCell ref="I84:N84"/>
    <mergeCell ref="S84:AE84"/>
    <mergeCell ref="AF84:AI84"/>
    <mergeCell ref="V75:AQ75"/>
    <mergeCell ref="V76:AQ76"/>
    <mergeCell ref="A77:AQ77"/>
    <mergeCell ref="A78:AQ78"/>
    <mergeCell ref="A79:AQ79"/>
    <mergeCell ref="A80:AQ80"/>
    <mergeCell ref="A70:B70"/>
    <mergeCell ref="AI70:AQ70"/>
    <mergeCell ref="A71:AQ71"/>
    <mergeCell ref="A72:AQ72"/>
    <mergeCell ref="A73:AQ73"/>
    <mergeCell ref="A74:AQ74"/>
    <mergeCell ref="A64:AQ64"/>
    <mergeCell ref="A65:AQ65"/>
    <mergeCell ref="A66:AQ66"/>
    <mergeCell ref="A67:AQ67"/>
    <mergeCell ref="A68:AQ68"/>
    <mergeCell ref="A69:B69"/>
    <mergeCell ref="AI69:AQ69"/>
    <mergeCell ref="A58:AQ58"/>
    <mergeCell ref="A59:AQ59"/>
    <mergeCell ref="A60:AQ60"/>
    <mergeCell ref="A61:AQ61"/>
    <mergeCell ref="A62:AQ62"/>
    <mergeCell ref="A63:AQ63"/>
    <mergeCell ref="I53:R53"/>
    <mergeCell ref="I54:R54"/>
    <mergeCell ref="S54:AI54"/>
    <mergeCell ref="A55:AQ55"/>
    <mergeCell ref="A56:AQ56"/>
    <mergeCell ref="A57:AQ57"/>
    <mergeCell ref="I51:N51"/>
    <mergeCell ref="O51:R51"/>
    <mergeCell ref="S51:AP51"/>
    <mergeCell ref="I52:N52"/>
    <mergeCell ref="O52:R52"/>
    <mergeCell ref="S52:AQ52"/>
    <mergeCell ref="A47:AQ47"/>
    <mergeCell ref="A48:AQ48"/>
    <mergeCell ref="A49:AQ49"/>
    <mergeCell ref="I50:N50"/>
    <mergeCell ref="S50:AE50"/>
    <mergeCell ref="AF50:AI50"/>
    <mergeCell ref="V41:AQ41"/>
    <mergeCell ref="V42:AQ42"/>
    <mergeCell ref="A43:AQ43"/>
    <mergeCell ref="A44:AQ44"/>
    <mergeCell ref="A45:AQ45"/>
    <mergeCell ref="A46:AQ46"/>
    <mergeCell ref="A36:B36"/>
    <mergeCell ref="AI36:AQ36"/>
    <mergeCell ref="A37:AQ37"/>
    <mergeCell ref="A38:AQ38"/>
    <mergeCell ref="A39:AQ39"/>
    <mergeCell ref="A40:AQ40"/>
    <mergeCell ref="A30:AQ30"/>
    <mergeCell ref="A31:AQ31"/>
    <mergeCell ref="A32:AQ32"/>
    <mergeCell ref="A33:AQ33"/>
    <mergeCell ref="A34:AQ34"/>
    <mergeCell ref="A35:B35"/>
    <mergeCell ref="AI35:AQ35"/>
    <mergeCell ref="A24:AQ24"/>
    <mergeCell ref="A25:AQ25"/>
    <mergeCell ref="A26:AQ26"/>
    <mergeCell ref="A27:AQ27"/>
    <mergeCell ref="A28:AQ28"/>
    <mergeCell ref="A29:AQ29"/>
    <mergeCell ref="I19:R19"/>
    <mergeCell ref="I20:R20"/>
    <mergeCell ref="S20:AI20"/>
    <mergeCell ref="A21:AQ21"/>
    <mergeCell ref="A22:AQ22"/>
    <mergeCell ref="A23:AQ23"/>
    <mergeCell ref="I17:N17"/>
    <mergeCell ref="O17:R17"/>
    <mergeCell ref="S17:AP17"/>
    <mergeCell ref="I18:N18"/>
    <mergeCell ref="O18:R18"/>
    <mergeCell ref="S18:AQ18"/>
    <mergeCell ref="A14:AQ14"/>
    <mergeCell ref="A15:AQ15"/>
    <mergeCell ref="I16:N16"/>
    <mergeCell ref="S16:AE16"/>
    <mergeCell ref="AF16:AI16"/>
    <mergeCell ref="A5:AQ5"/>
    <mergeCell ref="A6:AQ6"/>
    <mergeCell ref="V7:AQ7"/>
    <mergeCell ref="V8:AQ8"/>
    <mergeCell ref="A9:AQ9"/>
    <mergeCell ref="A10:AQ10"/>
    <mergeCell ref="A1:B1"/>
    <mergeCell ref="AI1:AQ1"/>
    <mergeCell ref="A2:B2"/>
    <mergeCell ref="AI2:AQ2"/>
    <mergeCell ref="A3:AQ3"/>
    <mergeCell ref="A4:AQ4"/>
    <mergeCell ref="A11:AQ11"/>
    <mergeCell ref="A12:AQ12"/>
    <mergeCell ref="A13:AQ13"/>
  </mergeCells>
  <phoneticPr fontId="1"/>
  <pageMargins left="0.98425196850393704" right="0.98425196850393704" top="1.3779527559055118" bottom="1.1811023622047245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6">
    <tabColor rgb="FFFFC000"/>
  </sheetPr>
  <dimension ref="A1:AV126"/>
  <sheetViews>
    <sheetView showGridLines="0" view="pageBreakPreview" zoomScaleNormal="100" zoomScaleSheetLayoutView="100" workbookViewId="0">
      <selection activeCell="V7" sqref="V7:AQ7"/>
    </sheetView>
  </sheetViews>
  <sheetFormatPr defaultColWidth="9" defaultRowHeight="22.5" customHeight="1"/>
  <cols>
    <col min="1" max="43" width="1.90625" style="13" customWidth="1"/>
    <col min="44" max="44" width="3.36328125" style="15" customWidth="1"/>
    <col min="45" max="47" width="1.90625" style="13" customWidth="1"/>
    <col min="48" max="48" width="6.26953125" style="13" customWidth="1"/>
    <col min="49" max="49" width="25" style="13" customWidth="1"/>
    <col min="50" max="16384" width="9" style="13"/>
  </cols>
  <sheetData>
    <row r="1" spans="1:48" ht="16.5" customHeight="1">
      <c r="A1" s="197"/>
      <c r="B1" s="197"/>
      <c r="AI1" s="200" t="str">
        <f>'1'!$AI$1</f>
        <v>R4健障障第100号</v>
      </c>
      <c r="AJ1" s="200"/>
      <c r="AK1" s="200"/>
      <c r="AL1" s="200"/>
      <c r="AM1" s="200"/>
      <c r="AN1" s="200"/>
      <c r="AO1" s="200"/>
      <c r="AP1" s="200"/>
      <c r="AQ1" s="200"/>
      <c r="AR1" s="15">
        <v>1</v>
      </c>
    </row>
    <row r="2" spans="1:48" ht="16.5" customHeight="1">
      <c r="A2" s="197"/>
      <c r="B2" s="197"/>
      <c r="AI2" s="201">
        <f>'1'!$AI$2</f>
        <v>44677</v>
      </c>
      <c r="AJ2" s="201"/>
      <c r="AK2" s="201"/>
      <c r="AL2" s="201"/>
      <c r="AM2" s="201"/>
      <c r="AN2" s="201"/>
      <c r="AO2" s="201"/>
      <c r="AP2" s="201"/>
      <c r="AQ2" s="201"/>
      <c r="AR2" s="15">
        <f>AR1+1</f>
        <v>2</v>
      </c>
    </row>
    <row r="3" spans="1:48" ht="18.7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5">
        <f t="shared" ref="AR3:AR34" si="0">AR2+1</f>
        <v>3</v>
      </c>
    </row>
    <row r="4" spans="1:48" ht="18.75" customHeight="1">
      <c r="A4" s="199" t="str">
        <f>INDEX(送付先一覧!A:O,MATCH(AV4,送付先一覧!A:A,0),4)</f>
        <v>社会福祉法人　みずきの郷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5">
        <f t="shared" si="0"/>
        <v>4</v>
      </c>
      <c r="AV4" s="65">
        <v>20</v>
      </c>
    </row>
    <row r="5" spans="1:48" ht="18.75" customHeight="1">
      <c r="A5" s="202" t="str">
        <f>INDEX(送付先一覧!A:O,MATCH(AV4,送付先一覧!A:A,0),5)</f>
        <v>理事長　米倉　尚美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15">
        <f t="shared" si="0"/>
        <v>5</v>
      </c>
    </row>
    <row r="6" spans="1:48" ht="18.75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5">
        <f t="shared" si="0"/>
        <v>6</v>
      </c>
    </row>
    <row r="7" spans="1:48" ht="18.75" customHeight="1">
      <c r="V7" s="199" t="str">
        <f>'1'!$V$7</f>
        <v>仙台市健康福祉局障害福祉部障害企画課長　　</v>
      </c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5">
        <f t="shared" si="0"/>
        <v>7</v>
      </c>
    </row>
    <row r="8" spans="1:48" ht="18.75" customHeight="1">
      <c r="V8" s="199" t="str">
        <f>'1'!$V$8</f>
        <v>仙台市健康福祉局障害福祉部障害者支援課長　</v>
      </c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5">
        <f t="shared" si="0"/>
        <v>8</v>
      </c>
    </row>
    <row r="9" spans="1:48" ht="18.7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5">
        <f t="shared" si="0"/>
        <v>9</v>
      </c>
    </row>
    <row r="10" spans="1:48" ht="22.5" customHeight="1">
      <c r="A10" s="203" t="str">
        <f>'1'!$A$10</f>
        <v>令和４年度仙台市障害福祉分野のICT導入モデル事業補助金の内示について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15">
        <f t="shared" si="0"/>
        <v>10</v>
      </c>
    </row>
    <row r="11" spans="1:48" ht="18.7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5">
        <f t="shared" si="0"/>
        <v>11</v>
      </c>
    </row>
    <row r="12" spans="1:48" ht="93.75" customHeight="1">
      <c r="A12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15">
        <f t="shared" si="0"/>
        <v>12</v>
      </c>
    </row>
    <row r="13" spans="1:48" ht="18.7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5">
        <f t="shared" si="0"/>
        <v>13</v>
      </c>
    </row>
    <row r="14" spans="1:48" ht="18.75" customHeight="1">
      <c r="A14" s="197" t="str">
        <f>'1'!$A$14</f>
        <v>記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5">
        <f t="shared" si="0"/>
        <v>14</v>
      </c>
    </row>
    <row r="15" spans="1:48" ht="18.7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5">
        <f t="shared" si="0"/>
        <v>15</v>
      </c>
    </row>
    <row r="16" spans="1:48" ht="18.75" customHeight="1">
      <c r="I16" s="199" t="str">
        <f>'1'!$I$16</f>
        <v>補助内示額</v>
      </c>
      <c r="J16" s="199"/>
      <c r="K16" s="199"/>
      <c r="L16" s="199"/>
      <c r="M16" s="199"/>
      <c r="N16" s="199"/>
      <c r="S16" s="206">
        <f>INDEX(送付先一覧!A:O,MATCH(AV4,送付先一覧!A:A,0),12)</f>
        <v>235000</v>
      </c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199"/>
      <c r="AG16" s="199"/>
      <c r="AH16" s="199"/>
      <c r="AI16" s="199"/>
      <c r="AR16" s="15">
        <f t="shared" si="0"/>
        <v>16</v>
      </c>
    </row>
    <row r="17" spans="1:44" ht="18.75" customHeight="1">
      <c r="I17" s="199" t="str">
        <f>'1'!$I$17</f>
        <v>事業種別</v>
      </c>
      <c r="J17" s="199"/>
      <c r="K17" s="199"/>
      <c r="L17" s="199"/>
      <c r="M17" s="199"/>
      <c r="N17" s="199"/>
      <c r="O17" s="199"/>
      <c r="P17" s="199"/>
      <c r="Q17" s="199"/>
      <c r="R17" s="199"/>
      <c r="S17" s="199" t="str">
        <f>INDEX(送付先一覧!A:O,MATCH(AV4,送付先一覧!A:A,0),9)</f>
        <v>生活介護</v>
      </c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R17" s="15">
        <f t="shared" si="0"/>
        <v>17</v>
      </c>
    </row>
    <row r="18" spans="1:44" ht="18.75" customHeight="1">
      <c r="I18" s="199" t="str">
        <f>'1'!$I$18</f>
        <v>事業所名</v>
      </c>
      <c r="J18" s="199"/>
      <c r="K18" s="199"/>
      <c r="L18" s="199"/>
      <c r="M18" s="199"/>
      <c r="N18" s="199"/>
      <c r="O18" s="199"/>
      <c r="P18" s="199"/>
      <c r="Q18" s="199"/>
      <c r="R18" s="199"/>
      <c r="S18" s="204" t="str">
        <f>INDEX(送付先一覧!A:O,MATCH(AV4,送付先一覧!A:A,0),8)</f>
        <v>ひかり苑</v>
      </c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15">
        <f t="shared" si="0"/>
        <v>18</v>
      </c>
    </row>
    <row r="19" spans="1:44" ht="18.75" customHeight="1"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15">
        <f t="shared" si="0"/>
        <v>19</v>
      </c>
    </row>
    <row r="20" spans="1:44" ht="18.75" customHeight="1"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R20" s="15">
        <f t="shared" si="0"/>
        <v>20</v>
      </c>
    </row>
    <row r="21" spans="1:44" ht="18.7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5">
        <f t="shared" si="0"/>
        <v>21</v>
      </c>
    </row>
    <row r="22" spans="1:44" ht="18.75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5">
        <f t="shared" si="0"/>
        <v>22</v>
      </c>
    </row>
    <row r="23" spans="1:44" ht="18.75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5">
        <f t="shared" si="0"/>
        <v>23</v>
      </c>
    </row>
    <row r="24" spans="1:44" ht="18.75" customHeight="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5">
        <f t="shared" si="0"/>
        <v>24</v>
      </c>
    </row>
    <row r="25" spans="1:44" ht="18.7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5">
        <f t="shared" si="0"/>
        <v>25</v>
      </c>
    </row>
    <row r="26" spans="1:44" ht="18.7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5">
        <f t="shared" si="0"/>
        <v>26</v>
      </c>
    </row>
    <row r="27" spans="1:44" ht="18.75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5">
        <f t="shared" si="0"/>
        <v>27</v>
      </c>
    </row>
    <row r="28" spans="1:44" ht="18.7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5">
        <f t="shared" si="0"/>
        <v>28</v>
      </c>
    </row>
    <row r="29" spans="1:44" ht="18.75" customHeight="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5">
        <f t="shared" si="0"/>
        <v>29</v>
      </c>
    </row>
    <row r="30" spans="1:44" ht="18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5">
        <f t="shared" si="0"/>
        <v>30</v>
      </c>
    </row>
    <row r="31" spans="1:44" ht="18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5">
        <f t="shared" si="0"/>
        <v>31</v>
      </c>
    </row>
    <row r="32" spans="1:44" ht="18.75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5">
        <f t="shared" si="0"/>
        <v>32</v>
      </c>
    </row>
    <row r="33" spans="1:44" ht="18.7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5">
        <f t="shared" si="0"/>
        <v>33</v>
      </c>
    </row>
    <row r="34" spans="1:44" ht="18.7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5">
        <f t="shared" si="0"/>
        <v>34</v>
      </c>
    </row>
    <row r="35" spans="1:44" ht="18.75" customHeight="1">
      <c r="A35" s="15"/>
      <c r="B35" s="15"/>
    </row>
    <row r="36" spans="1:44" ht="16.5" customHeight="1"/>
    <row r="37" spans="1:44" ht="16.5" customHeight="1"/>
    <row r="38" spans="1:44" ht="16.5" customHeight="1"/>
    <row r="39" spans="1:44" ht="16.5" customHeight="1"/>
    <row r="40" spans="1:44" ht="16.5" customHeight="1"/>
    <row r="41" spans="1:44" ht="16.5" customHeight="1"/>
    <row r="42" spans="1:44" ht="16.5" customHeight="1"/>
    <row r="43" spans="1:44" ht="16.5" customHeight="1"/>
    <row r="44" spans="1:44" ht="16.5" customHeight="1"/>
    <row r="45" spans="1:44" ht="16.5" customHeight="1"/>
    <row r="46" spans="1:44" ht="16.5" customHeight="1"/>
    <row r="47" spans="1:44" ht="16.5" customHeight="1"/>
    <row r="48" spans="1:44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</sheetData>
  <sheetProtection formatCells="0" selectLockedCells="1"/>
  <mergeCells count="43">
    <mergeCell ref="A30:AQ30"/>
    <mergeCell ref="A31:AQ31"/>
    <mergeCell ref="A32:AQ32"/>
    <mergeCell ref="A33:AQ33"/>
    <mergeCell ref="A34:AQ34"/>
    <mergeCell ref="A29:AQ29"/>
    <mergeCell ref="I19:R19"/>
    <mergeCell ref="I20:R20"/>
    <mergeCell ref="S20:AI20"/>
    <mergeCell ref="A21:AQ21"/>
    <mergeCell ref="A22:AQ22"/>
    <mergeCell ref="A23:AQ23"/>
    <mergeCell ref="A24:AQ24"/>
    <mergeCell ref="A25:AQ25"/>
    <mergeCell ref="A26:AQ26"/>
    <mergeCell ref="A27:AQ27"/>
    <mergeCell ref="A28:AQ28"/>
    <mergeCell ref="I17:N17"/>
    <mergeCell ref="O17:R17"/>
    <mergeCell ref="S17:AP17"/>
    <mergeCell ref="I18:N18"/>
    <mergeCell ref="O18:R18"/>
    <mergeCell ref="S18:AQ18"/>
    <mergeCell ref="I16:N16"/>
    <mergeCell ref="S16:AE16"/>
    <mergeCell ref="AF16:AI16"/>
    <mergeCell ref="A5:AQ5"/>
    <mergeCell ref="A6:AQ6"/>
    <mergeCell ref="V7:AQ7"/>
    <mergeCell ref="V8:AQ8"/>
    <mergeCell ref="A9:AQ9"/>
    <mergeCell ref="A10:AQ10"/>
    <mergeCell ref="A11:AQ11"/>
    <mergeCell ref="A12:AQ12"/>
    <mergeCell ref="A13:AQ13"/>
    <mergeCell ref="A14:AQ14"/>
    <mergeCell ref="A15:AQ15"/>
    <mergeCell ref="A4:AQ4"/>
    <mergeCell ref="A1:B1"/>
    <mergeCell ref="AI1:AQ1"/>
    <mergeCell ref="A2:B2"/>
    <mergeCell ref="AI2:AQ2"/>
    <mergeCell ref="A3:AQ3"/>
  </mergeCells>
  <phoneticPr fontId="1"/>
  <pageMargins left="0.98425196850393704" right="0.98425196850393704" top="1.3779527559055118" bottom="1.1811023622047245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>
    <tabColor rgb="FFFFC000"/>
  </sheetPr>
  <dimension ref="A1:AV310"/>
  <sheetViews>
    <sheetView showGridLines="0" view="pageBreakPreview" zoomScaleNormal="100" zoomScaleSheetLayoutView="100" workbookViewId="0">
      <selection activeCell="V7" sqref="V7:AQ7"/>
    </sheetView>
  </sheetViews>
  <sheetFormatPr defaultColWidth="9" defaultRowHeight="22.5" customHeight="1"/>
  <cols>
    <col min="1" max="43" width="1.90625" style="13" customWidth="1"/>
    <col min="44" max="44" width="3.36328125" style="15" customWidth="1"/>
    <col min="45" max="47" width="1.90625" style="13" customWidth="1"/>
    <col min="48" max="48" width="6.26953125" style="13" customWidth="1"/>
    <col min="49" max="49" width="25" style="13" customWidth="1"/>
    <col min="50" max="16384" width="9" style="13"/>
  </cols>
  <sheetData>
    <row r="1" spans="1:48" ht="16.5" customHeight="1">
      <c r="A1" s="197"/>
      <c r="B1" s="197"/>
      <c r="AI1" s="200" t="str">
        <f>'1'!$AI$1</f>
        <v>R4健障障第100号</v>
      </c>
      <c r="AJ1" s="200"/>
      <c r="AK1" s="200"/>
      <c r="AL1" s="200"/>
      <c r="AM1" s="200"/>
      <c r="AN1" s="200"/>
      <c r="AO1" s="200"/>
      <c r="AP1" s="200"/>
      <c r="AQ1" s="200"/>
      <c r="AR1" s="15">
        <v>1</v>
      </c>
    </row>
    <row r="2" spans="1:48" ht="16.5" customHeight="1">
      <c r="A2" s="197"/>
      <c r="B2" s="197"/>
      <c r="AI2" s="201">
        <f>'1'!$AI$2</f>
        <v>44677</v>
      </c>
      <c r="AJ2" s="201"/>
      <c r="AK2" s="201"/>
      <c r="AL2" s="201"/>
      <c r="AM2" s="201"/>
      <c r="AN2" s="201"/>
      <c r="AO2" s="201"/>
      <c r="AP2" s="201"/>
      <c r="AQ2" s="201"/>
      <c r="AR2" s="15">
        <f>AR1+1</f>
        <v>2</v>
      </c>
    </row>
    <row r="3" spans="1:48" ht="18.7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5">
        <f t="shared" ref="AR3:AR34" si="0">AR2+1</f>
        <v>3</v>
      </c>
    </row>
    <row r="4" spans="1:48" ht="18.75" customHeight="1">
      <c r="A4" s="199" t="str">
        <f>INDEX(送付先一覧!A:O,MATCH(AV4,送付先一覧!A:A,0),4)</f>
        <v>社会福祉法人　つどいの家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5">
        <f t="shared" si="0"/>
        <v>4</v>
      </c>
      <c r="AV4" s="65">
        <v>21</v>
      </c>
    </row>
    <row r="5" spans="1:48" ht="18.75" customHeight="1">
      <c r="A5" s="202" t="str">
        <f>INDEX(送付先一覧!A:O,MATCH(AV4,送付先一覧!A:A,0),5)</f>
        <v>理事長　佐藤　清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15">
        <f t="shared" si="0"/>
        <v>5</v>
      </c>
    </row>
    <row r="6" spans="1:48" ht="18.75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5">
        <f t="shared" si="0"/>
        <v>6</v>
      </c>
    </row>
    <row r="7" spans="1:48" ht="18.75" customHeight="1">
      <c r="V7" s="199" t="str">
        <f>'1'!$V$7</f>
        <v>仙台市健康福祉局障害福祉部障害企画課長　　</v>
      </c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5">
        <f t="shared" si="0"/>
        <v>7</v>
      </c>
    </row>
    <row r="8" spans="1:48" ht="18.75" customHeight="1">
      <c r="V8" s="199" t="str">
        <f>'1'!$V$8</f>
        <v>仙台市健康福祉局障害福祉部障害者支援課長　</v>
      </c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5">
        <f t="shared" si="0"/>
        <v>8</v>
      </c>
    </row>
    <row r="9" spans="1:48" ht="18.7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5">
        <f t="shared" si="0"/>
        <v>9</v>
      </c>
    </row>
    <row r="10" spans="1:48" ht="22.5" customHeight="1">
      <c r="A10" s="203" t="str">
        <f>'1'!$A$10</f>
        <v>令和４年度仙台市障害福祉分野のICT導入モデル事業補助金の内示について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15">
        <f t="shared" si="0"/>
        <v>10</v>
      </c>
    </row>
    <row r="11" spans="1:48" ht="18.7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5">
        <f t="shared" si="0"/>
        <v>11</v>
      </c>
    </row>
    <row r="12" spans="1:48" ht="93.75" customHeight="1">
      <c r="A12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15">
        <f t="shared" si="0"/>
        <v>12</v>
      </c>
    </row>
    <row r="13" spans="1:48" ht="18.7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5">
        <f t="shared" si="0"/>
        <v>13</v>
      </c>
    </row>
    <row r="14" spans="1:48" ht="18.75" customHeight="1">
      <c r="A14" s="197" t="str">
        <f>'1'!$A$14</f>
        <v>記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5">
        <f t="shared" si="0"/>
        <v>14</v>
      </c>
    </row>
    <row r="15" spans="1:48" ht="18.7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5">
        <f t="shared" si="0"/>
        <v>15</v>
      </c>
    </row>
    <row r="16" spans="1:48" ht="18.75" customHeight="1">
      <c r="I16" s="199" t="str">
        <f>'1'!$I$16</f>
        <v>補助内示額</v>
      </c>
      <c r="J16" s="199"/>
      <c r="K16" s="199"/>
      <c r="L16" s="199"/>
      <c r="M16" s="199"/>
      <c r="N16" s="199"/>
      <c r="S16" s="206">
        <f>INDEX(送付先一覧!A:O,MATCH(AV4,送付先一覧!A:A,0),12)</f>
        <v>343000</v>
      </c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199"/>
      <c r="AG16" s="199"/>
      <c r="AH16" s="199"/>
      <c r="AI16" s="199"/>
      <c r="AR16" s="15">
        <f t="shared" si="0"/>
        <v>16</v>
      </c>
    </row>
    <row r="17" spans="1:44" ht="18.75" customHeight="1">
      <c r="I17" s="199" t="str">
        <f>'1'!$I$17</f>
        <v>事業種別</v>
      </c>
      <c r="J17" s="199"/>
      <c r="K17" s="199"/>
      <c r="L17" s="199"/>
      <c r="M17" s="199"/>
      <c r="N17" s="199"/>
      <c r="O17" s="199"/>
      <c r="P17" s="199"/>
      <c r="Q17" s="199"/>
      <c r="R17" s="199"/>
      <c r="S17" s="199" t="str">
        <f>INDEX(送付先一覧!A:O,MATCH(AV4,送付先一覧!A:A,0),9)</f>
        <v>居宅介護</v>
      </c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R17" s="15">
        <f t="shared" si="0"/>
        <v>17</v>
      </c>
    </row>
    <row r="18" spans="1:44" ht="18.75" customHeight="1">
      <c r="I18" s="199" t="str">
        <f>'1'!$I$18</f>
        <v>事業所名</v>
      </c>
      <c r="J18" s="199"/>
      <c r="K18" s="199"/>
      <c r="L18" s="199"/>
      <c r="M18" s="199"/>
      <c r="N18" s="199"/>
      <c r="O18" s="199"/>
      <c r="P18" s="199"/>
      <c r="Q18" s="199"/>
      <c r="R18" s="199"/>
      <c r="S18" s="204" t="str">
        <f>INDEX(送付先一覧!A:O,MATCH(AV4,送付先一覧!A:A,0),8)</f>
        <v>ぺんたす</v>
      </c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15">
        <f t="shared" si="0"/>
        <v>18</v>
      </c>
    </row>
    <row r="19" spans="1:44" ht="18.75" customHeight="1"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15">
        <f t="shared" si="0"/>
        <v>19</v>
      </c>
    </row>
    <row r="20" spans="1:44" ht="18.75" customHeight="1"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R20" s="15">
        <f t="shared" si="0"/>
        <v>20</v>
      </c>
    </row>
    <row r="21" spans="1:44" ht="18.7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5">
        <f t="shared" si="0"/>
        <v>21</v>
      </c>
    </row>
    <row r="22" spans="1:44" ht="18.75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5">
        <f t="shared" si="0"/>
        <v>22</v>
      </c>
    </row>
    <row r="23" spans="1:44" ht="18.75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5">
        <f t="shared" si="0"/>
        <v>23</v>
      </c>
    </row>
    <row r="24" spans="1:44" ht="18.75" customHeight="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5">
        <f t="shared" si="0"/>
        <v>24</v>
      </c>
    </row>
    <row r="25" spans="1:44" ht="18.7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5">
        <f t="shared" si="0"/>
        <v>25</v>
      </c>
    </row>
    <row r="26" spans="1:44" ht="18.7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5">
        <f t="shared" si="0"/>
        <v>26</v>
      </c>
    </row>
    <row r="27" spans="1:44" ht="18.75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5">
        <f t="shared" si="0"/>
        <v>27</v>
      </c>
    </row>
    <row r="28" spans="1:44" ht="18.7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5">
        <f t="shared" si="0"/>
        <v>28</v>
      </c>
    </row>
    <row r="29" spans="1:44" ht="18.75" customHeight="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5">
        <f t="shared" si="0"/>
        <v>29</v>
      </c>
    </row>
    <row r="30" spans="1:44" ht="18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5">
        <f t="shared" si="0"/>
        <v>30</v>
      </c>
    </row>
    <row r="31" spans="1:44" ht="18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5">
        <f t="shared" si="0"/>
        <v>31</v>
      </c>
    </row>
    <row r="32" spans="1:44" ht="18.75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5">
        <f t="shared" si="0"/>
        <v>32</v>
      </c>
    </row>
    <row r="33" spans="1:48" ht="18.7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5">
        <f t="shared" si="0"/>
        <v>33</v>
      </c>
    </row>
    <row r="34" spans="1:48" ht="18.7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5">
        <f t="shared" si="0"/>
        <v>34</v>
      </c>
    </row>
    <row r="35" spans="1:48" ht="16.5" customHeight="1">
      <c r="A35" s="197"/>
      <c r="B35" s="197"/>
      <c r="AI35" s="200" t="str">
        <f>'1'!$AI$1</f>
        <v>R4健障障第100号</v>
      </c>
      <c r="AJ35" s="200"/>
      <c r="AK35" s="200"/>
      <c r="AL35" s="200"/>
      <c r="AM35" s="200"/>
      <c r="AN35" s="200"/>
      <c r="AO35" s="200"/>
      <c r="AP35" s="200"/>
      <c r="AQ35" s="200"/>
      <c r="AR35" s="15">
        <v>1</v>
      </c>
    </row>
    <row r="36" spans="1:48" ht="16.5" customHeight="1">
      <c r="A36" s="197"/>
      <c r="B36" s="197"/>
      <c r="AI36" s="201">
        <f>'1'!$AI$2</f>
        <v>44677</v>
      </c>
      <c r="AJ36" s="201"/>
      <c r="AK36" s="201"/>
      <c r="AL36" s="201"/>
      <c r="AM36" s="201"/>
      <c r="AN36" s="201"/>
      <c r="AO36" s="201"/>
      <c r="AP36" s="201"/>
      <c r="AQ36" s="201"/>
      <c r="AR36" s="15">
        <f>AR35+1</f>
        <v>2</v>
      </c>
    </row>
    <row r="37" spans="1:48" ht="18.75" customHeight="1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5">
        <f t="shared" ref="AR37:AR68" si="1">AR36+1</f>
        <v>3</v>
      </c>
    </row>
    <row r="38" spans="1:48" ht="18.75" customHeight="1">
      <c r="A38" s="199" t="str">
        <f>INDEX(送付先一覧!A:O,MATCH(AV38,送付先一覧!A:A,0),4)</f>
        <v>社会福祉法人　つどいの家</v>
      </c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5">
        <f t="shared" si="1"/>
        <v>4</v>
      </c>
      <c r="AV38" s="65">
        <f>AV4+1</f>
        <v>22</v>
      </c>
    </row>
    <row r="39" spans="1:48" ht="18.75" customHeight="1">
      <c r="A39" s="202" t="str">
        <f>INDEX(送付先一覧!A:O,MATCH(AV38,送付先一覧!A:A,0),5)</f>
        <v>理事長　佐藤　清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15">
        <f t="shared" si="1"/>
        <v>5</v>
      </c>
    </row>
    <row r="40" spans="1:48" ht="18.75" customHeight="1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5">
        <f t="shared" si="1"/>
        <v>6</v>
      </c>
    </row>
    <row r="41" spans="1:48" ht="18.75" customHeight="1">
      <c r="V41" s="199" t="str">
        <f>'1'!$V$7</f>
        <v>仙台市健康福祉局障害福祉部障害企画課長　　</v>
      </c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5">
        <f t="shared" si="1"/>
        <v>7</v>
      </c>
    </row>
    <row r="42" spans="1:48" ht="18.75" customHeight="1">
      <c r="V42" s="199" t="str">
        <f>'1'!$V$8</f>
        <v>仙台市健康福祉局障害福祉部障害者支援課長　</v>
      </c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5">
        <f t="shared" si="1"/>
        <v>8</v>
      </c>
    </row>
    <row r="43" spans="1:48" ht="18.75" customHeight="1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5">
        <f t="shared" si="1"/>
        <v>9</v>
      </c>
    </row>
    <row r="44" spans="1:48" ht="22.5" customHeight="1">
      <c r="A44" s="203" t="str">
        <f>'1'!$A$10</f>
        <v>令和４年度仙台市障害福祉分野のICT導入モデル事業補助金の内示について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15">
        <f t="shared" si="1"/>
        <v>10</v>
      </c>
    </row>
    <row r="45" spans="1:48" ht="18.75" customHeight="1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5">
        <f t="shared" si="1"/>
        <v>11</v>
      </c>
    </row>
    <row r="46" spans="1:48" ht="93.75" customHeight="1">
      <c r="A46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15">
        <f t="shared" si="1"/>
        <v>12</v>
      </c>
    </row>
    <row r="47" spans="1:48" ht="18.75" customHeight="1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5">
        <f t="shared" si="1"/>
        <v>13</v>
      </c>
    </row>
    <row r="48" spans="1:48" ht="18.75" customHeight="1">
      <c r="A48" s="197" t="str">
        <f>'1'!$A$14</f>
        <v>記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5">
        <f t="shared" si="1"/>
        <v>14</v>
      </c>
    </row>
    <row r="49" spans="1:44" ht="18.75" customHeight="1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5">
        <f t="shared" si="1"/>
        <v>15</v>
      </c>
    </row>
    <row r="50" spans="1:44" ht="18.75" customHeight="1">
      <c r="I50" s="199" t="str">
        <f>'1'!$I$16</f>
        <v>補助内示額</v>
      </c>
      <c r="J50" s="199"/>
      <c r="K50" s="199"/>
      <c r="L50" s="199"/>
      <c r="M50" s="199"/>
      <c r="N50" s="199"/>
      <c r="S50" s="206">
        <f>INDEX(送付先一覧!A:O,MATCH(AV38,送付先一覧!A:A,0),12)</f>
        <v>666000</v>
      </c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199"/>
      <c r="AG50" s="199"/>
      <c r="AH50" s="199"/>
      <c r="AI50" s="199"/>
      <c r="AR50" s="15">
        <f t="shared" si="1"/>
        <v>16</v>
      </c>
    </row>
    <row r="51" spans="1:44" ht="18.75" customHeight="1">
      <c r="I51" s="199" t="str">
        <f>'1'!$I$17</f>
        <v>事業種別</v>
      </c>
      <c r="J51" s="199"/>
      <c r="K51" s="199"/>
      <c r="L51" s="199"/>
      <c r="M51" s="199"/>
      <c r="N51" s="199"/>
      <c r="O51" s="199"/>
      <c r="P51" s="199"/>
      <c r="Q51" s="199"/>
      <c r="R51" s="199"/>
      <c r="S51" s="199" t="str">
        <f>INDEX(送付先一覧!A:O,MATCH(AV38,送付先一覧!A:A,0),9)</f>
        <v>居宅介護</v>
      </c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R51" s="15">
        <f t="shared" si="1"/>
        <v>17</v>
      </c>
    </row>
    <row r="52" spans="1:44" ht="18.75" customHeight="1">
      <c r="I52" s="199" t="str">
        <f>'1'!$I$18</f>
        <v>事業所名</v>
      </c>
      <c r="J52" s="199"/>
      <c r="K52" s="199"/>
      <c r="L52" s="199"/>
      <c r="M52" s="199"/>
      <c r="N52" s="199"/>
      <c r="O52" s="199"/>
      <c r="P52" s="199"/>
      <c r="Q52" s="199"/>
      <c r="R52" s="199"/>
      <c r="S52" s="204" t="str">
        <f>INDEX(送付先一覧!A:O,MATCH(AV38,送付先一覧!A:A,0),8)</f>
        <v>ぴぼっと</v>
      </c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15">
        <f t="shared" si="1"/>
        <v>18</v>
      </c>
    </row>
    <row r="53" spans="1:44" ht="18.75" customHeight="1"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15">
        <f t="shared" si="1"/>
        <v>19</v>
      </c>
    </row>
    <row r="54" spans="1:44" ht="18.75" customHeight="1"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198"/>
      <c r="AR54" s="15">
        <f t="shared" si="1"/>
        <v>20</v>
      </c>
    </row>
    <row r="55" spans="1:44" ht="18.75" customHeight="1">
      <c r="A55" s="198"/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5">
        <f t="shared" si="1"/>
        <v>21</v>
      </c>
    </row>
    <row r="56" spans="1:44" ht="18.75" customHeight="1">
      <c r="A56" s="198"/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5">
        <f t="shared" si="1"/>
        <v>22</v>
      </c>
    </row>
    <row r="57" spans="1:44" ht="18.75" customHeight="1">
      <c r="A57" s="198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5">
        <f t="shared" si="1"/>
        <v>23</v>
      </c>
    </row>
    <row r="58" spans="1:44" ht="18.75" customHeight="1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5">
        <f t="shared" si="1"/>
        <v>24</v>
      </c>
    </row>
    <row r="59" spans="1:44" ht="18.75" customHeight="1">
      <c r="A59" s="198"/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5">
        <f t="shared" si="1"/>
        <v>25</v>
      </c>
    </row>
    <row r="60" spans="1:44" ht="18.75" customHeight="1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5">
        <f t="shared" si="1"/>
        <v>26</v>
      </c>
    </row>
    <row r="61" spans="1:44" ht="18.75" customHeight="1">
      <c r="A61" s="198"/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5">
        <f t="shared" si="1"/>
        <v>27</v>
      </c>
    </row>
    <row r="62" spans="1:44" ht="18.75" customHeight="1">
      <c r="A62" s="198"/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5">
        <f t="shared" si="1"/>
        <v>28</v>
      </c>
    </row>
    <row r="63" spans="1:44" ht="18.75" customHeight="1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5">
        <f t="shared" si="1"/>
        <v>29</v>
      </c>
    </row>
    <row r="64" spans="1:44" ht="18.75" customHeight="1">
      <c r="A64" s="198"/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5">
        <f t="shared" si="1"/>
        <v>30</v>
      </c>
    </row>
    <row r="65" spans="1:48" ht="18.75" customHeight="1">
      <c r="A65" s="198"/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5">
        <f t="shared" si="1"/>
        <v>31</v>
      </c>
    </row>
    <row r="66" spans="1:48" ht="18.75" customHeight="1">
      <c r="A66" s="198"/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5">
        <f t="shared" si="1"/>
        <v>32</v>
      </c>
    </row>
    <row r="67" spans="1:48" ht="18.75" customHeight="1">
      <c r="A67" s="198"/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5">
        <f t="shared" si="1"/>
        <v>33</v>
      </c>
    </row>
    <row r="68" spans="1:48" ht="18.75" customHeight="1">
      <c r="A68" s="198"/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5">
        <f t="shared" si="1"/>
        <v>34</v>
      </c>
    </row>
    <row r="69" spans="1:48" ht="16.5" customHeight="1">
      <c r="A69" s="197"/>
      <c r="B69" s="197"/>
      <c r="AI69" s="200" t="str">
        <f>'1'!$AI$1</f>
        <v>R4健障障第100号</v>
      </c>
      <c r="AJ69" s="200"/>
      <c r="AK69" s="200"/>
      <c r="AL69" s="200"/>
      <c r="AM69" s="200"/>
      <c r="AN69" s="200"/>
      <c r="AO69" s="200"/>
      <c r="AP69" s="200"/>
      <c r="AQ69" s="200"/>
      <c r="AR69" s="15">
        <v>1</v>
      </c>
    </row>
    <row r="70" spans="1:48" ht="16.5" customHeight="1">
      <c r="A70" s="197"/>
      <c r="B70" s="197"/>
      <c r="AI70" s="201">
        <f>'1'!$AI$2</f>
        <v>44677</v>
      </c>
      <c r="AJ70" s="201"/>
      <c r="AK70" s="201"/>
      <c r="AL70" s="201"/>
      <c r="AM70" s="201"/>
      <c r="AN70" s="201"/>
      <c r="AO70" s="201"/>
      <c r="AP70" s="201"/>
      <c r="AQ70" s="201"/>
      <c r="AR70" s="15">
        <f>AR69+1</f>
        <v>2</v>
      </c>
    </row>
    <row r="71" spans="1:48" ht="18.75" customHeight="1">
      <c r="A71" s="198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5">
        <f t="shared" ref="AR71:AR102" si="2">AR70+1</f>
        <v>3</v>
      </c>
    </row>
    <row r="72" spans="1:48" ht="18.75" customHeight="1">
      <c r="A72" s="199" t="str">
        <f>INDEX(送付先一覧!A:O,MATCH(AV72,送付先一覧!A:A,0),4)</f>
        <v>社会福祉法人　つどいの家</v>
      </c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5">
        <f t="shared" si="2"/>
        <v>4</v>
      </c>
      <c r="AV72" s="65">
        <f>AV38+1</f>
        <v>23</v>
      </c>
    </row>
    <row r="73" spans="1:48" ht="18.75" customHeight="1">
      <c r="A73" s="202" t="str">
        <f>INDEX(送付先一覧!A:O,MATCH(AV72,送付先一覧!A:A,0),5)</f>
        <v>理事長　佐藤　清</v>
      </c>
      <c r="B73" s="202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202"/>
      <c r="AD73" s="202"/>
      <c r="AE73" s="202"/>
      <c r="AF73" s="202"/>
      <c r="AG73" s="202"/>
      <c r="AH73" s="202"/>
      <c r="AI73" s="202"/>
      <c r="AJ73" s="202"/>
      <c r="AK73" s="202"/>
      <c r="AL73" s="202"/>
      <c r="AM73" s="202"/>
      <c r="AN73" s="202"/>
      <c r="AO73" s="202"/>
      <c r="AP73" s="202"/>
      <c r="AQ73" s="202"/>
      <c r="AR73" s="15">
        <f t="shared" si="2"/>
        <v>5</v>
      </c>
    </row>
    <row r="74" spans="1:48" ht="18.75" customHeight="1">
      <c r="A74" s="198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5">
        <f t="shared" si="2"/>
        <v>6</v>
      </c>
    </row>
    <row r="75" spans="1:48" ht="18.75" customHeight="1">
      <c r="V75" s="199" t="str">
        <f>'1'!$V$7</f>
        <v>仙台市健康福祉局障害福祉部障害企画課長　　</v>
      </c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5">
        <f t="shared" si="2"/>
        <v>7</v>
      </c>
    </row>
    <row r="76" spans="1:48" ht="18.75" customHeight="1">
      <c r="V76" s="199" t="str">
        <f>'1'!$V$8</f>
        <v>仙台市健康福祉局障害福祉部障害者支援課長　</v>
      </c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5">
        <f t="shared" si="2"/>
        <v>8</v>
      </c>
    </row>
    <row r="77" spans="1:48" ht="18.75" customHeight="1">
      <c r="A77" s="198"/>
      <c r="B77" s="198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5">
        <f t="shared" si="2"/>
        <v>9</v>
      </c>
    </row>
    <row r="78" spans="1:48" ht="22.5" customHeight="1">
      <c r="A78" s="203" t="str">
        <f>'1'!$A$10</f>
        <v>令和４年度仙台市障害福祉分野のICT導入モデル事業補助金の内示について</v>
      </c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15">
        <f t="shared" si="2"/>
        <v>10</v>
      </c>
    </row>
    <row r="79" spans="1:48" ht="18.75" customHeight="1">
      <c r="A79" s="198"/>
      <c r="B79" s="198"/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5">
        <f t="shared" si="2"/>
        <v>11</v>
      </c>
    </row>
    <row r="80" spans="1:48" ht="93.75" customHeight="1">
      <c r="A80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80" s="205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5">
        <f t="shared" si="2"/>
        <v>12</v>
      </c>
    </row>
    <row r="81" spans="1:44" ht="18.75" customHeight="1">
      <c r="A81" s="198"/>
      <c r="B81" s="198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5">
        <f t="shared" si="2"/>
        <v>13</v>
      </c>
    </row>
    <row r="82" spans="1:44" ht="18.75" customHeight="1">
      <c r="A82" s="197" t="str">
        <f>'1'!$A$14</f>
        <v>記</v>
      </c>
      <c r="B82" s="197"/>
      <c r="C82" s="197"/>
      <c r="D82" s="197"/>
      <c r="E82" s="197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5">
        <f t="shared" si="2"/>
        <v>14</v>
      </c>
    </row>
    <row r="83" spans="1:44" ht="18.75" customHeight="1">
      <c r="A83" s="198"/>
      <c r="B83" s="198"/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5">
        <f t="shared" si="2"/>
        <v>15</v>
      </c>
    </row>
    <row r="84" spans="1:44" ht="18.75" customHeight="1">
      <c r="I84" s="199" t="str">
        <f>'1'!$I$16</f>
        <v>補助内示額</v>
      </c>
      <c r="J84" s="199"/>
      <c r="K84" s="199"/>
      <c r="L84" s="199"/>
      <c r="M84" s="199"/>
      <c r="N84" s="199"/>
      <c r="S84" s="206">
        <f>INDEX(送付先一覧!A:O,MATCH(AV72,送付先一覧!A:A,0),12)</f>
        <v>615000</v>
      </c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199"/>
      <c r="AG84" s="199"/>
      <c r="AH84" s="199"/>
      <c r="AI84" s="199"/>
      <c r="AR84" s="15">
        <f t="shared" si="2"/>
        <v>16</v>
      </c>
    </row>
    <row r="85" spans="1:44" ht="18.75" customHeight="1">
      <c r="I85" s="199" t="str">
        <f>'1'!$I$17</f>
        <v>事業種別</v>
      </c>
      <c r="J85" s="199"/>
      <c r="K85" s="199"/>
      <c r="L85" s="199"/>
      <c r="M85" s="199"/>
      <c r="N85" s="199"/>
      <c r="O85" s="199"/>
      <c r="P85" s="199"/>
      <c r="Q85" s="199"/>
      <c r="R85" s="199"/>
      <c r="S85" s="199" t="str">
        <f>INDEX(送付先一覧!A:O,MATCH(AV72,送付先一覧!A:A,0),9)</f>
        <v>計画相談支援</v>
      </c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R85" s="15">
        <f t="shared" si="2"/>
        <v>17</v>
      </c>
    </row>
    <row r="86" spans="1:44" ht="18.75" customHeight="1">
      <c r="I86" s="199" t="str">
        <f>'1'!$I$18</f>
        <v>事業所名</v>
      </c>
      <c r="J86" s="199"/>
      <c r="K86" s="199"/>
      <c r="L86" s="199"/>
      <c r="M86" s="199"/>
      <c r="N86" s="199"/>
      <c r="O86" s="199"/>
      <c r="P86" s="199"/>
      <c r="Q86" s="199"/>
      <c r="R86" s="199"/>
      <c r="S86" s="204" t="str">
        <f>INDEX(送付先一覧!A:O,MATCH(AV72,送付先一覧!A:A,0),8)</f>
        <v>ぴぼっと支倉</v>
      </c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15">
        <f t="shared" si="2"/>
        <v>18</v>
      </c>
    </row>
    <row r="87" spans="1:44" ht="18.75" customHeight="1">
      <c r="I87" s="198"/>
      <c r="J87" s="198"/>
      <c r="K87" s="198"/>
      <c r="L87" s="198"/>
      <c r="M87" s="198"/>
      <c r="N87" s="198"/>
      <c r="O87" s="198"/>
      <c r="P87" s="198"/>
      <c r="Q87" s="198"/>
      <c r="R87" s="198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15">
        <f t="shared" si="2"/>
        <v>19</v>
      </c>
    </row>
    <row r="88" spans="1:44" ht="18.75" customHeight="1">
      <c r="I88" s="198"/>
      <c r="J88" s="198"/>
      <c r="K88" s="198"/>
      <c r="L88" s="198"/>
      <c r="M88" s="198"/>
      <c r="N88" s="198"/>
      <c r="O88" s="198"/>
      <c r="P88" s="198"/>
      <c r="Q88" s="198"/>
      <c r="R88" s="198"/>
      <c r="S88" s="198"/>
      <c r="T88" s="198"/>
      <c r="U88" s="198"/>
      <c r="V88" s="198"/>
      <c r="W88" s="198"/>
      <c r="X88" s="198"/>
      <c r="Y88" s="198"/>
      <c r="Z88" s="198"/>
      <c r="AA88" s="198"/>
      <c r="AB88" s="198"/>
      <c r="AC88" s="198"/>
      <c r="AD88" s="198"/>
      <c r="AE88" s="198"/>
      <c r="AF88" s="198"/>
      <c r="AG88" s="198"/>
      <c r="AH88" s="198"/>
      <c r="AI88" s="198"/>
      <c r="AR88" s="15">
        <f t="shared" si="2"/>
        <v>20</v>
      </c>
    </row>
    <row r="89" spans="1:44" ht="18.75" customHeight="1">
      <c r="A89" s="198"/>
      <c r="B89" s="198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198"/>
      <c r="Q89" s="198"/>
      <c r="R89" s="198"/>
      <c r="S89" s="198"/>
      <c r="T89" s="198"/>
      <c r="U89" s="198"/>
      <c r="V89" s="198"/>
      <c r="W89" s="198"/>
      <c r="X89" s="198"/>
      <c r="Y89" s="198"/>
      <c r="Z89" s="198"/>
      <c r="AA89" s="198"/>
      <c r="AB89" s="198"/>
      <c r="AC89" s="198"/>
      <c r="AD89" s="198"/>
      <c r="AE89" s="198"/>
      <c r="AF89" s="198"/>
      <c r="AG89" s="198"/>
      <c r="AH89" s="198"/>
      <c r="AI89" s="198"/>
      <c r="AJ89" s="198"/>
      <c r="AK89" s="198"/>
      <c r="AL89" s="198"/>
      <c r="AM89" s="198"/>
      <c r="AN89" s="198"/>
      <c r="AO89" s="198"/>
      <c r="AP89" s="198"/>
      <c r="AQ89" s="198"/>
      <c r="AR89" s="15">
        <f t="shared" si="2"/>
        <v>21</v>
      </c>
    </row>
    <row r="90" spans="1:44" ht="18.75" customHeight="1">
      <c r="A90" s="198"/>
      <c r="B90" s="198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  <c r="AA90" s="198"/>
      <c r="AB90" s="198"/>
      <c r="AC90" s="198"/>
      <c r="AD90" s="198"/>
      <c r="AE90" s="198"/>
      <c r="AF90" s="198"/>
      <c r="AG90" s="198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5">
        <f t="shared" si="2"/>
        <v>22</v>
      </c>
    </row>
    <row r="91" spans="1:44" ht="18.75" customHeight="1">
      <c r="A91" s="198"/>
      <c r="B91" s="198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8"/>
      <c r="Q91" s="198"/>
      <c r="R91" s="198"/>
      <c r="S91" s="198"/>
      <c r="T91" s="198"/>
      <c r="U91" s="198"/>
      <c r="V91" s="198"/>
      <c r="W91" s="198"/>
      <c r="X91" s="198"/>
      <c r="Y91" s="198"/>
      <c r="Z91" s="198"/>
      <c r="AA91" s="198"/>
      <c r="AB91" s="198"/>
      <c r="AC91" s="198"/>
      <c r="AD91" s="198"/>
      <c r="AE91" s="198"/>
      <c r="AF91" s="198"/>
      <c r="AG91" s="198"/>
      <c r="AH91" s="198"/>
      <c r="AI91" s="198"/>
      <c r="AJ91" s="198"/>
      <c r="AK91" s="198"/>
      <c r="AL91" s="198"/>
      <c r="AM91" s="198"/>
      <c r="AN91" s="198"/>
      <c r="AO91" s="198"/>
      <c r="AP91" s="198"/>
      <c r="AQ91" s="198"/>
      <c r="AR91" s="15">
        <f t="shared" si="2"/>
        <v>23</v>
      </c>
    </row>
    <row r="92" spans="1:44" ht="18.75" customHeight="1">
      <c r="A92" s="198"/>
      <c r="B92" s="198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198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5">
        <f t="shared" si="2"/>
        <v>24</v>
      </c>
    </row>
    <row r="93" spans="1:44" ht="18.75" customHeight="1">
      <c r="A93" s="198"/>
      <c r="B93" s="198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198"/>
      <c r="Y93" s="198"/>
      <c r="Z93" s="198"/>
      <c r="AA93" s="198"/>
      <c r="AB93" s="198"/>
      <c r="AC93" s="198"/>
      <c r="AD93" s="198"/>
      <c r="AE93" s="198"/>
      <c r="AF93" s="198"/>
      <c r="AG93" s="198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5">
        <f t="shared" si="2"/>
        <v>25</v>
      </c>
    </row>
    <row r="94" spans="1:44" ht="18.75" customHeight="1">
      <c r="A94" s="198"/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98"/>
      <c r="AE94" s="198"/>
      <c r="AF94" s="198"/>
      <c r="AG94" s="198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5">
        <f t="shared" si="2"/>
        <v>26</v>
      </c>
    </row>
    <row r="95" spans="1:44" ht="18.75" customHeight="1">
      <c r="A95" s="198"/>
      <c r="B95" s="198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8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5">
        <f t="shared" si="2"/>
        <v>27</v>
      </c>
    </row>
    <row r="96" spans="1:44" ht="18.75" customHeight="1">
      <c r="A96" s="198"/>
      <c r="B96" s="198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5">
        <f t="shared" si="2"/>
        <v>28</v>
      </c>
    </row>
    <row r="97" spans="1:48" ht="18.75" customHeight="1">
      <c r="A97" s="198"/>
      <c r="B97" s="198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198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5">
        <f t="shared" si="2"/>
        <v>29</v>
      </c>
    </row>
    <row r="98" spans="1:48" ht="18.75" customHeight="1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5">
        <f t="shared" si="2"/>
        <v>30</v>
      </c>
    </row>
    <row r="99" spans="1:48" ht="18.75" customHeight="1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5">
        <f t="shared" si="2"/>
        <v>31</v>
      </c>
    </row>
    <row r="100" spans="1:48" ht="18.75" customHeight="1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5">
        <f t="shared" si="2"/>
        <v>32</v>
      </c>
    </row>
    <row r="101" spans="1:48" ht="18.75" customHeight="1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5">
        <f t="shared" si="2"/>
        <v>33</v>
      </c>
    </row>
    <row r="102" spans="1:48" ht="18.75" customHeight="1">
      <c r="A102" s="198"/>
      <c r="B102" s="198"/>
      <c r="C102" s="198"/>
      <c r="D102" s="198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5">
        <f t="shared" si="2"/>
        <v>34</v>
      </c>
    </row>
    <row r="103" spans="1:48" ht="16.5" customHeight="1">
      <c r="A103" s="197"/>
      <c r="B103" s="197"/>
      <c r="AI103" s="200" t="str">
        <f>'1'!$AI$1</f>
        <v>R4健障障第100号</v>
      </c>
      <c r="AJ103" s="200"/>
      <c r="AK103" s="200"/>
      <c r="AL103" s="200"/>
      <c r="AM103" s="200"/>
      <c r="AN103" s="200"/>
      <c r="AO103" s="200"/>
      <c r="AP103" s="200"/>
      <c r="AQ103" s="200"/>
      <c r="AR103" s="15">
        <v>1</v>
      </c>
    </row>
    <row r="104" spans="1:48" ht="16.5" customHeight="1">
      <c r="A104" s="197"/>
      <c r="B104" s="197"/>
      <c r="AI104" s="201">
        <f>'1'!$AI$2</f>
        <v>44677</v>
      </c>
      <c r="AJ104" s="201"/>
      <c r="AK104" s="201"/>
      <c r="AL104" s="201"/>
      <c r="AM104" s="201"/>
      <c r="AN104" s="201"/>
      <c r="AO104" s="201"/>
      <c r="AP104" s="201"/>
      <c r="AQ104" s="201"/>
      <c r="AR104" s="15">
        <f>AR103+1</f>
        <v>2</v>
      </c>
    </row>
    <row r="105" spans="1:48" ht="18.75" customHeight="1">
      <c r="A105" s="198"/>
      <c r="B105" s="198"/>
      <c r="C105" s="198"/>
      <c r="D105" s="198"/>
      <c r="E105" s="198"/>
      <c r="F105" s="198"/>
      <c r="G105" s="198"/>
      <c r="H105" s="198"/>
      <c r="I105" s="198"/>
      <c r="J105" s="198"/>
      <c r="K105" s="198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98"/>
      <c r="AE105" s="198"/>
      <c r="AF105" s="198"/>
      <c r="AG105" s="198"/>
      <c r="AH105" s="198"/>
      <c r="AI105" s="198"/>
      <c r="AJ105" s="198"/>
      <c r="AK105" s="198"/>
      <c r="AL105" s="198"/>
      <c r="AM105" s="198"/>
      <c r="AN105" s="198"/>
      <c r="AO105" s="198"/>
      <c r="AP105" s="198"/>
      <c r="AQ105" s="198"/>
      <c r="AR105" s="15">
        <f t="shared" ref="AR105:AR136" si="3">AR104+1</f>
        <v>3</v>
      </c>
    </row>
    <row r="106" spans="1:48" ht="18.75" customHeight="1">
      <c r="A106" s="199" t="str">
        <f>INDEX(送付先一覧!A:O,MATCH(AV106,送付先一覧!A:A,0),4)</f>
        <v>社会福祉法人　つどいの家</v>
      </c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199"/>
      <c r="AL106" s="199"/>
      <c r="AM106" s="199"/>
      <c r="AN106" s="199"/>
      <c r="AO106" s="199"/>
      <c r="AP106" s="199"/>
      <c r="AQ106" s="199"/>
      <c r="AR106" s="15">
        <f t="shared" si="3"/>
        <v>4</v>
      </c>
      <c r="AV106" s="65">
        <f>AV72+1</f>
        <v>24</v>
      </c>
    </row>
    <row r="107" spans="1:48" ht="18.75" customHeight="1">
      <c r="A107" s="202" t="str">
        <f>INDEX(送付先一覧!A:O,MATCH(AV106,送付先一覧!A:A,0),5)</f>
        <v>理事長　佐藤　清</v>
      </c>
      <c r="B107" s="202"/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  <c r="AM107" s="202"/>
      <c r="AN107" s="202"/>
      <c r="AO107" s="202"/>
      <c r="AP107" s="202"/>
      <c r="AQ107" s="202"/>
      <c r="AR107" s="15">
        <f t="shared" si="3"/>
        <v>5</v>
      </c>
    </row>
    <row r="108" spans="1:48" ht="18.75" customHeight="1">
      <c r="A108" s="198"/>
      <c r="B108" s="198"/>
      <c r="C108" s="198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98"/>
      <c r="AE108" s="198"/>
      <c r="AF108" s="198"/>
      <c r="AG108" s="198"/>
      <c r="AH108" s="198"/>
      <c r="AI108" s="198"/>
      <c r="AJ108" s="198"/>
      <c r="AK108" s="198"/>
      <c r="AL108" s="198"/>
      <c r="AM108" s="198"/>
      <c r="AN108" s="198"/>
      <c r="AO108" s="198"/>
      <c r="AP108" s="198"/>
      <c r="AQ108" s="198"/>
      <c r="AR108" s="15">
        <f t="shared" si="3"/>
        <v>6</v>
      </c>
    </row>
    <row r="109" spans="1:48" ht="18.75" customHeight="1">
      <c r="V109" s="199" t="str">
        <f>'1'!$V$7</f>
        <v>仙台市健康福祉局障害福祉部障害企画課長　　</v>
      </c>
      <c r="W109" s="199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199"/>
      <c r="AI109" s="199"/>
      <c r="AJ109" s="199"/>
      <c r="AK109" s="199"/>
      <c r="AL109" s="199"/>
      <c r="AM109" s="199"/>
      <c r="AN109" s="199"/>
      <c r="AO109" s="199"/>
      <c r="AP109" s="199"/>
      <c r="AQ109" s="199"/>
      <c r="AR109" s="15">
        <f t="shared" si="3"/>
        <v>7</v>
      </c>
    </row>
    <row r="110" spans="1:48" ht="18.75" customHeight="1">
      <c r="V110" s="199" t="str">
        <f>'1'!$V$8</f>
        <v>仙台市健康福祉局障害福祉部障害者支援課長　</v>
      </c>
      <c r="W110" s="199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199"/>
      <c r="AI110" s="199"/>
      <c r="AJ110" s="199"/>
      <c r="AK110" s="199"/>
      <c r="AL110" s="199"/>
      <c r="AM110" s="199"/>
      <c r="AN110" s="199"/>
      <c r="AO110" s="199"/>
      <c r="AP110" s="199"/>
      <c r="AQ110" s="199"/>
      <c r="AR110" s="15">
        <f t="shared" si="3"/>
        <v>8</v>
      </c>
    </row>
    <row r="111" spans="1:48" ht="18.75" customHeight="1">
      <c r="A111" s="198"/>
      <c r="B111" s="198"/>
      <c r="C111" s="198"/>
      <c r="D111" s="198"/>
      <c r="E111" s="198"/>
      <c r="F111" s="198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98"/>
      <c r="AE111" s="198"/>
      <c r="AF111" s="198"/>
      <c r="AG111" s="198"/>
      <c r="AH111" s="198"/>
      <c r="AI111" s="198"/>
      <c r="AJ111" s="198"/>
      <c r="AK111" s="198"/>
      <c r="AL111" s="198"/>
      <c r="AM111" s="198"/>
      <c r="AN111" s="198"/>
      <c r="AO111" s="198"/>
      <c r="AP111" s="198"/>
      <c r="AQ111" s="198"/>
      <c r="AR111" s="15">
        <f t="shared" si="3"/>
        <v>9</v>
      </c>
    </row>
    <row r="112" spans="1:48" ht="22.5" customHeight="1">
      <c r="A112" s="203" t="str">
        <f>'1'!$A$10</f>
        <v>令和４年度仙台市障害福祉分野のICT導入モデル事業補助金の内示について</v>
      </c>
      <c r="B112" s="203"/>
      <c r="C112" s="203"/>
      <c r="D112" s="203"/>
      <c r="E112" s="203"/>
      <c r="F112" s="203"/>
      <c r="G112" s="203"/>
      <c r="H112" s="203"/>
      <c r="I112" s="203"/>
      <c r="J112" s="203"/>
      <c r="K112" s="203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203"/>
      <c r="W112" s="203"/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I112" s="203"/>
      <c r="AJ112" s="203"/>
      <c r="AK112" s="203"/>
      <c r="AL112" s="203"/>
      <c r="AM112" s="203"/>
      <c r="AN112" s="203"/>
      <c r="AO112" s="203"/>
      <c r="AP112" s="203"/>
      <c r="AQ112" s="203"/>
      <c r="AR112" s="15">
        <f t="shared" si="3"/>
        <v>10</v>
      </c>
    </row>
    <row r="113" spans="1:44" ht="18.75" customHeight="1">
      <c r="A113" s="198"/>
      <c r="B113" s="198"/>
      <c r="C113" s="198"/>
      <c r="D113" s="198"/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98"/>
      <c r="AE113" s="198"/>
      <c r="AF113" s="198"/>
      <c r="AG113" s="198"/>
      <c r="AH113" s="198"/>
      <c r="AI113" s="198"/>
      <c r="AJ113" s="198"/>
      <c r="AK113" s="198"/>
      <c r="AL113" s="198"/>
      <c r="AM113" s="198"/>
      <c r="AN113" s="198"/>
      <c r="AO113" s="198"/>
      <c r="AP113" s="198"/>
      <c r="AQ113" s="198"/>
      <c r="AR113" s="15">
        <f t="shared" si="3"/>
        <v>11</v>
      </c>
    </row>
    <row r="114" spans="1:44" ht="93.75" customHeight="1">
      <c r="A114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14" s="205"/>
      <c r="C114" s="205"/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5"/>
      <c r="AE114" s="205"/>
      <c r="AF114" s="205"/>
      <c r="AG114" s="205"/>
      <c r="AH114" s="205"/>
      <c r="AI114" s="205"/>
      <c r="AJ114" s="205"/>
      <c r="AK114" s="205"/>
      <c r="AL114" s="205"/>
      <c r="AM114" s="205"/>
      <c r="AN114" s="205"/>
      <c r="AO114" s="205"/>
      <c r="AP114" s="205"/>
      <c r="AQ114" s="205"/>
      <c r="AR114" s="15">
        <f t="shared" si="3"/>
        <v>12</v>
      </c>
    </row>
    <row r="115" spans="1:44" ht="18.75" customHeight="1">
      <c r="A115" s="198"/>
      <c r="B115" s="198"/>
      <c r="C115" s="198"/>
      <c r="D115" s="198"/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5">
        <f t="shared" si="3"/>
        <v>13</v>
      </c>
    </row>
    <row r="116" spans="1:44" ht="18.75" customHeight="1">
      <c r="A116" s="197" t="str">
        <f>'1'!$A$14</f>
        <v>記</v>
      </c>
      <c r="B116" s="197"/>
      <c r="C116" s="197"/>
      <c r="D116" s="197"/>
      <c r="E116" s="197"/>
      <c r="F116" s="197"/>
      <c r="G116" s="197"/>
      <c r="H116" s="197"/>
      <c r="I116" s="197"/>
      <c r="J116" s="197"/>
      <c r="K116" s="197"/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/>
      <c r="AF116" s="197"/>
      <c r="AG116" s="197"/>
      <c r="AH116" s="197"/>
      <c r="AI116" s="197"/>
      <c r="AJ116" s="197"/>
      <c r="AK116" s="197"/>
      <c r="AL116" s="197"/>
      <c r="AM116" s="197"/>
      <c r="AN116" s="197"/>
      <c r="AO116" s="197"/>
      <c r="AP116" s="197"/>
      <c r="AQ116" s="197"/>
      <c r="AR116" s="15">
        <f t="shared" si="3"/>
        <v>14</v>
      </c>
    </row>
    <row r="117" spans="1:44" ht="18.75" customHeight="1">
      <c r="A117" s="198"/>
      <c r="B117" s="198"/>
      <c r="C117" s="198"/>
      <c r="D117" s="198"/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5">
        <f t="shared" si="3"/>
        <v>15</v>
      </c>
    </row>
    <row r="118" spans="1:44" ht="18.75" customHeight="1">
      <c r="I118" s="199" t="str">
        <f>'1'!$I$16</f>
        <v>補助内示額</v>
      </c>
      <c r="J118" s="199"/>
      <c r="K118" s="199"/>
      <c r="L118" s="199"/>
      <c r="M118" s="199"/>
      <c r="N118" s="199"/>
      <c r="S118" s="206">
        <f>INDEX(送付先一覧!A:O,MATCH(AV106,送付先一覧!A:A,0),12)</f>
        <v>666000</v>
      </c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199"/>
      <c r="AG118" s="199"/>
      <c r="AH118" s="199"/>
      <c r="AI118" s="199"/>
      <c r="AR118" s="15">
        <f t="shared" si="3"/>
        <v>16</v>
      </c>
    </row>
    <row r="119" spans="1:44" ht="18.75" customHeight="1">
      <c r="I119" s="199" t="str">
        <f>'1'!$I$17</f>
        <v>事業種別</v>
      </c>
      <c r="J119" s="199"/>
      <c r="K119" s="199"/>
      <c r="L119" s="199"/>
      <c r="M119" s="199"/>
      <c r="N119" s="199"/>
      <c r="O119" s="199"/>
      <c r="P119" s="199"/>
      <c r="Q119" s="199"/>
      <c r="R119" s="199"/>
      <c r="S119" s="199" t="str">
        <f>INDEX(送付先一覧!A:O,MATCH(AV106,送付先一覧!A:A,0),9)</f>
        <v>生活介護</v>
      </c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199"/>
      <c r="AR119" s="15">
        <f t="shared" si="3"/>
        <v>17</v>
      </c>
    </row>
    <row r="120" spans="1:44" ht="18.75" customHeight="1">
      <c r="I120" s="199" t="str">
        <f>'1'!$I$18</f>
        <v>事業所名</v>
      </c>
      <c r="J120" s="199"/>
      <c r="K120" s="199"/>
      <c r="L120" s="199"/>
      <c r="M120" s="199"/>
      <c r="N120" s="199"/>
      <c r="O120" s="199"/>
      <c r="P120" s="199"/>
      <c r="Q120" s="199"/>
      <c r="R120" s="199"/>
      <c r="S120" s="204" t="str">
        <f>INDEX(送付先一覧!A:O,MATCH(AV106,送付先一覧!A:A,0),8)</f>
        <v>仙台つどいの家</v>
      </c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204"/>
      <c r="AE120" s="204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15">
        <f t="shared" si="3"/>
        <v>18</v>
      </c>
    </row>
    <row r="121" spans="1:44" ht="18.75" customHeight="1"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15">
        <f t="shared" si="3"/>
        <v>19</v>
      </c>
    </row>
    <row r="122" spans="1:44" ht="18.75" customHeight="1"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R122" s="15">
        <f t="shared" si="3"/>
        <v>20</v>
      </c>
    </row>
    <row r="123" spans="1:44" ht="18.75" customHeight="1">
      <c r="A123" s="198"/>
      <c r="B123" s="198"/>
      <c r="C123" s="198"/>
      <c r="D123" s="198"/>
      <c r="E123" s="198"/>
      <c r="F123" s="198"/>
      <c r="G123" s="198"/>
      <c r="H123" s="198"/>
      <c r="I123" s="198"/>
      <c r="J123" s="198"/>
      <c r="K123" s="198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  <c r="AF123" s="198"/>
      <c r="AG123" s="198"/>
      <c r="AH123" s="198"/>
      <c r="AI123" s="198"/>
      <c r="AJ123" s="198"/>
      <c r="AK123" s="198"/>
      <c r="AL123" s="198"/>
      <c r="AM123" s="198"/>
      <c r="AN123" s="198"/>
      <c r="AO123" s="198"/>
      <c r="AP123" s="198"/>
      <c r="AQ123" s="198"/>
      <c r="AR123" s="15">
        <f t="shared" si="3"/>
        <v>21</v>
      </c>
    </row>
    <row r="124" spans="1:44" ht="18.75" customHeight="1">
      <c r="A124" s="198"/>
      <c r="B124" s="198"/>
      <c r="C124" s="198"/>
      <c r="D124" s="198"/>
      <c r="E124" s="198"/>
      <c r="F124" s="198"/>
      <c r="G124" s="198"/>
      <c r="H124" s="198"/>
      <c r="I124" s="198"/>
      <c r="J124" s="198"/>
      <c r="K124" s="198"/>
      <c r="L124" s="198"/>
      <c r="M124" s="198"/>
      <c r="N124" s="198"/>
      <c r="O124" s="198"/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98"/>
      <c r="AE124" s="198"/>
      <c r="AF124" s="198"/>
      <c r="AG124" s="198"/>
      <c r="AH124" s="198"/>
      <c r="AI124" s="198"/>
      <c r="AJ124" s="198"/>
      <c r="AK124" s="198"/>
      <c r="AL124" s="198"/>
      <c r="AM124" s="198"/>
      <c r="AN124" s="198"/>
      <c r="AO124" s="198"/>
      <c r="AP124" s="198"/>
      <c r="AQ124" s="198"/>
      <c r="AR124" s="15">
        <f t="shared" si="3"/>
        <v>22</v>
      </c>
    </row>
    <row r="125" spans="1:44" ht="18.75" customHeight="1">
      <c r="A125" s="198"/>
      <c r="B125" s="198"/>
      <c r="C125" s="198"/>
      <c r="D125" s="198"/>
      <c r="E125" s="198"/>
      <c r="F125" s="198"/>
      <c r="G125" s="198"/>
      <c r="H125" s="198"/>
      <c r="I125" s="198"/>
      <c r="J125" s="198"/>
      <c r="K125" s="198"/>
      <c r="L125" s="198"/>
      <c r="M125" s="198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  <c r="AF125" s="198"/>
      <c r="AG125" s="198"/>
      <c r="AH125" s="198"/>
      <c r="AI125" s="198"/>
      <c r="AJ125" s="198"/>
      <c r="AK125" s="198"/>
      <c r="AL125" s="198"/>
      <c r="AM125" s="198"/>
      <c r="AN125" s="198"/>
      <c r="AO125" s="198"/>
      <c r="AP125" s="198"/>
      <c r="AQ125" s="198"/>
      <c r="AR125" s="15">
        <f t="shared" si="3"/>
        <v>23</v>
      </c>
    </row>
    <row r="126" spans="1:44" ht="18.75" customHeight="1">
      <c r="A126" s="198"/>
      <c r="B126" s="198"/>
      <c r="C126" s="198"/>
      <c r="D126" s="198"/>
      <c r="E126" s="198"/>
      <c r="F126" s="198"/>
      <c r="G126" s="198"/>
      <c r="H126" s="198"/>
      <c r="I126" s="198"/>
      <c r="J126" s="198"/>
      <c r="K126" s="198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8"/>
      <c r="AE126" s="198"/>
      <c r="AF126" s="198"/>
      <c r="AG126" s="198"/>
      <c r="AH126" s="198"/>
      <c r="AI126" s="198"/>
      <c r="AJ126" s="198"/>
      <c r="AK126" s="198"/>
      <c r="AL126" s="198"/>
      <c r="AM126" s="198"/>
      <c r="AN126" s="198"/>
      <c r="AO126" s="198"/>
      <c r="AP126" s="198"/>
      <c r="AQ126" s="198"/>
      <c r="AR126" s="15">
        <f t="shared" si="3"/>
        <v>24</v>
      </c>
    </row>
    <row r="127" spans="1:44" ht="18.75" customHeight="1">
      <c r="A127" s="198"/>
      <c r="B127" s="198"/>
      <c r="C127" s="198"/>
      <c r="D127" s="198"/>
      <c r="E127" s="198"/>
      <c r="F127" s="198"/>
      <c r="G127" s="198"/>
      <c r="H127" s="198"/>
      <c r="I127" s="198"/>
      <c r="J127" s="198"/>
      <c r="K127" s="198"/>
      <c r="L127" s="198"/>
      <c r="M127" s="198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  <c r="AF127" s="198"/>
      <c r="AG127" s="198"/>
      <c r="AH127" s="198"/>
      <c r="AI127" s="198"/>
      <c r="AJ127" s="198"/>
      <c r="AK127" s="198"/>
      <c r="AL127" s="198"/>
      <c r="AM127" s="198"/>
      <c r="AN127" s="198"/>
      <c r="AO127" s="198"/>
      <c r="AP127" s="198"/>
      <c r="AQ127" s="198"/>
      <c r="AR127" s="15">
        <f t="shared" si="3"/>
        <v>25</v>
      </c>
    </row>
    <row r="128" spans="1:44" ht="18.75" customHeight="1">
      <c r="A128" s="198"/>
      <c r="B128" s="198"/>
      <c r="C128" s="198"/>
      <c r="D128" s="198"/>
      <c r="E128" s="198"/>
      <c r="F128" s="198"/>
      <c r="G128" s="198"/>
      <c r="H128" s="198"/>
      <c r="I128" s="198"/>
      <c r="J128" s="198"/>
      <c r="K128" s="198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  <c r="AF128" s="198"/>
      <c r="AG128" s="198"/>
      <c r="AH128" s="198"/>
      <c r="AI128" s="198"/>
      <c r="AJ128" s="198"/>
      <c r="AK128" s="198"/>
      <c r="AL128" s="198"/>
      <c r="AM128" s="198"/>
      <c r="AN128" s="198"/>
      <c r="AO128" s="198"/>
      <c r="AP128" s="198"/>
      <c r="AQ128" s="198"/>
      <c r="AR128" s="15">
        <f t="shared" si="3"/>
        <v>26</v>
      </c>
    </row>
    <row r="129" spans="1:48" ht="18.75" customHeight="1">
      <c r="A129" s="198"/>
      <c r="B129" s="198"/>
      <c r="C129" s="198"/>
      <c r="D129" s="198"/>
      <c r="E129" s="198"/>
      <c r="F129" s="198"/>
      <c r="G129" s="198"/>
      <c r="H129" s="198"/>
      <c r="I129" s="198"/>
      <c r="J129" s="198"/>
      <c r="K129" s="198"/>
      <c r="L129" s="198"/>
      <c r="M129" s="198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  <c r="AF129" s="198"/>
      <c r="AG129" s="198"/>
      <c r="AH129" s="198"/>
      <c r="AI129" s="198"/>
      <c r="AJ129" s="198"/>
      <c r="AK129" s="198"/>
      <c r="AL129" s="198"/>
      <c r="AM129" s="198"/>
      <c r="AN129" s="198"/>
      <c r="AO129" s="198"/>
      <c r="AP129" s="198"/>
      <c r="AQ129" s="198"/>
      <c r="AR129" s="15">
        <f t="shared" si="3"/>
        <v>27</v>
      </c>
    </row>
    <row r="130" spans="1:48" ht="18.75" customHeight="1">
      <c r="A130" s="198"/>
      <c r="B130" s="198"/>
      <c r="C130" s="198"/>
      <c r="D130" s="198"/>
      <c r="E130" s="198"/>
      <c r="F130" s="198"/>
      <c r="G130" s="198"/>
      <c r="H130" s="198"/>
      <c r="I130" s="198"/>
      <c r="J130" s="198"/>
      <c r="K130" s="198"/>
      <c r="L130" s="198"/>
      <c r="M130" s="198"/>
      <c r="N130" s="198"/>
      <c r="O130" s="198"/>
      <c r="P130" s="198"/>
      <c r="Q130" s="198"/>
      <c r="R130" s="198"/>
      <c r="S130" s="198"/>
      <c r="T130" s="198"/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  <c r="AF130" s="198"/>
      <c r="AG130" s="198"/>
      <c r="AH130" s="198"/>
      <c r="AI130" s="198"/>
      <c r="AJ130" s="198"/>
      <c r="AK130" s="198"/>
      <c r="AL130" s="198"/>
      <c r="AM130" s="198"/>
      <c r="AN130" s="198"/>
      <c r="AO130" s="198"/>
      <c r="AP130" s="198"/>
      <c r="AQ130" s="198"/>
      <c r="AR130" s="15">
        <f t="shared" si="3"/>
        <v>28</v>
      </c>
    </row>
    <row r="131" spans="1:48" ht="18.75" customHeight="1">
      <c r="A131" s="198"/>
      <c r="B131" s="198"/>
      <c r="C131" s="198"/>
      <c r="D131" s="198"/>
      <c r="E131" s="198"/>
      <c r="F131" s="198"/>
      <c r="G131" s="198"/>
      <c r="H131" s="198"/>
      <c r="I131" s="198"/>
      <c r="J131" s="198"/>
      <c r="K131" s="198"/>
      <c r="L131" s="198"/>
      <c r="M131" s="198"/>
      <c r="N131" s="198"/>
      <c r="O131" s="198"/>
      <c r="P131" s="198"/>
      <c r="Q131" s="198"/>
      <c r="R131" s="198"/>
      <c r="S131" s="198"/>
      <c r="T131" s="198"/>
      <c r="U131" s="198"/>
      <c r="V131" s="198"/>
      <c r="W131" s="198"/>
      <c r="X131" s="198"/>
      <c r="Y131" s="198"/>
      <c r="Z131" s="198"/>
      <c r="AA131" s="198"/>
      <c r="AB131" s="198"/>
      <c r="AC131" s="198"/>
      <c r="AD131" s="198"/>
      <c r="AE131" s="198"/>
      <c r="AF131" s="198"/>
      <c r="AG131" s="198"/>
      <c r="AH131" s="198"/>
      <c r="AI131" s="198"/>
      <c r="AJ131" s="198"/>
      <c r="AK131" s="198"/>
      <c r="AL131" s="198"/>
      <c r="AM131" s="198"/>
      <c r="AN131" s="198"/>
      <c r="AO131" s="198"/>
      <c r="AP131" s="198"/>
      <c r="AQ131" s="198"/>
      <c r="AR131" s="15">
        <f t="shared" si="3"/>
        <v>29</v>
      </c>
    </row>
    <row r="132" spans="1:48" ht="18.75" customHeight="1">
      <c r="A132" s="198"/>
      <c r="B132" s="198"/>
      <c r="C132" s="198"/>
      <c r="D132" s="198"/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8"/>
      <c r="Y132" s="198"/>
      <c r="Z132" s="198"/>
      <c r="AA132" s="198"/>
      <c r="AB132" s="198"/>
      <c r="AC132" s="198"/>
      <c r="AD132" s="198"/>
      <c r="AE132" s="198"/>
      <c r="AF132" s="198"/>
      <c r="AG132" s="198"/>
      <c r="AH132" s="198"/>
      <c r="AI132" s="198"/>
      <c r="AJ132" s="198"/>
      <c r="AK132" s="198"/>
      <c r="AL132" s="198"/>
      <c r="AM132" s="198"/>
      <c r="AN132" s="198"/>
      <c r="AO132" s="198"/>
      <c r="AP132" s="198"/>
      <c r="AQ132" s="198"/>
      <c r="AR132" s="15">
        <f t="shared" si="3"/>
        <v>30</v>
      </c>
    </row>
    <row r="133" spans="1:48" ht="18.75" customHeight="1">
      <c r="A133" s="198"/>
      <c r="B133" s="198"/>
      <c r="C133" s="198"/>
      <c r="D133" s="198"/>
      <c r="E133" s="198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8"/>
      <c r="Y133" s="198"/>
      <c r="Z133" s="198"/>
      <c r="AA133" s="198"/>
      <c r="AB133" s="198"/>
      <c r="AC133" s="198"/>
      <c r="AD133" s="198"/>
      <c r="AE133" s="198"/>
      <c r="AF133" s="198"/>
      <c r="AG133" s="198"/>
      <c r="AH133" s="198"/>
      <c r="AI133" s="198"/>
      <c r="AJ133" s="198"/>
      <c r="AK133" s="198"/>
      <c r="AL133" s="198"/>
      <c r="AM133" s="198"/>
      <c r="AN133" s="198"/>
      <c r="AO133" s="198"/>
      <c r="AP133" s="198"/>
      <c r="AQ133" s="198"/>
      <c r="AR133" s="15">
        <f t="shared" si="3"/>
        <v>31</v>
      </c>
    </row>
    <row r="134" spans="1:48" ht="18.75" customHeight="1">
      <c r="A134" s="198"/>
      <c r="B134" s="198"/>
      <c r="C134" s="198"/>
      <c r="D134" s="198"/>
      <c r="E134" s="198"/>
      <c r="F134" s="198"/>
      <c r="G134" s="198"/>
      <c r="H134" s="198"/>
      <c r="I134" s="198"/>
      <c r="J134" s="198"/>
      <c r="K134" s="198"/>
      <c r="L134" s="198"/>
      <c r="M134" s="198"/>
      <c r="N134" s="198"/>
      <c r="O134" s="198"/>
      <c r="P134" s="198"/>
      <c r="Q134" s="198"/>
      <c r="R134" s="198"/>
      <c r="S134" s="198"/>
      <c r="T134" s="198"/>
      <c r="U134" s="198"/>
      <c r="V134" s="198"/>
      <c r="W134" s="198"/>
      <c r="X134" s="198"/>
      <c r="Y134" s="198"/>
      <c r="Z134" s="198"/>
      <c r="AA134" s="198"/>
      <c r="AB134" s="198"/>
      <c r="AC134" s="198"/>
      <c r="AD134" s="198"/>
      <c r="AE134" s="198"/>
      <c r="AF134" s="198"/>
      <c r="AG134" s="198"/>
      <c r="AH134" s="198"/>
      <c r="AI134" s="198"/>
      <c r="AJ134" s="198"/>
      <c r="AK134" s="198"/>
      <c r="AL134" s="198"/>
      <c r="AM134" s="198"/>
      <c r="AN134" s="198"/>
      <c r="AO134" s="198"/>
      <c r="AP134" s="198"/>
      <c r="AQ134" s="198"/>
      <c r="AR134" s="15">
        <f t="shared" si="3"/>
        <v>32</v>
      </c>
    </row>
    <row r="135" spans="1:48" ht="18.75" customHeight="1">
      <c r="A135" s="198"/>
      <c r="B135" s="198"/>
      <c r="C135" s="198"/>
      <c r="D135" s="198"/>
      <c r="E135" s="198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  <c r="P135" s="198"/>
      <c r="Q135" s="198"/>
      <c r="R135" s="198"/>
      <c r="S135" s="198"/>
      <c r="T135" s="198"/>
      <c r="U135" s="198"/>
      <c r="V135" s="198"/>
      <c r="W135" s="198"/>
      <c r="X135" s="198"/>
      <c r="Y135" s="198"/>
      <c r="Z135" s="198"/>
      <c r="AA135" s="198"/>
      <c r="AB135" s="198"/>
      <c r="AC135" s="198"/>
      <c r="AD135" s="198"/>
      <c r="AE135" s="198"/>
      <c r="AF135" s="198"/>
      <c r="AG135" s="198"/>
      <c r="AH135" s="198"/>
      <c r="AI135" s="198"/>
      <c r="AJ135" s="198"/>
      <c r="AK135" s="198"/>
      <c r="AL135" s="198"/>
      <c r="AM135" s="198"/>
      <c r="AN135" s="198"/>
      <c r="AO135" s="198"/>
      <c r="AP135" s="198"/>
      <c r="AQ135" s="198"/>
      <c r="AR135" s="15">
        <f t="shared" si="3"/>
        <v>33</v>
      </c>
    </row>
    <row r="136" spans="1:48" ht="18.75" customHeight="1">
      <c r="A136" s="198"/>
      <c r="B136" s="198"/>
      <c r="C136" s="198"/>
      <c r="D136" s="198"/>
      <c r="E136" s="198"/>
      <c r="F136" s="198"/>
      <c r="G136" s="198"/>
      <c r="H136" s="198"/>
      <c r="I136" s="198"/>
      <c r="J136" s="198"/>
      <c r="K136" s="198"/>
      <c r="L136" s="198"/>
      <c r="M136" s="198"/>
      <c r="N136" s="198"/>
      <c r="O136" s="198"/>
      <c r="P136" s="198"/>
      <c r="Q136" s="198"/>
      <c r="R136" s="198"/>
      <c r="S136" s="198"/>
      <c r="T136" s="198"/>
      <c r="U136" s="198"/>
      <c r="V136" s="198"/>
      <c r="W136" s="198"/>
      <c r="X136" s="198"/>
      <c r="Y136" s="198"/>
      <c r="Z136" s="198"/>
      <c r="AA136" s="198"/>
      <c r="AB136" s="198"/>
      <c r="AC136" s="198"/>
      <c r="AD136" s="198"/>
      <c r="AE136" s="198"/>
      <c r="AF136" s="198"/>
      <c r="AG136" s="198"/>
      <c r="AH136" s="198"/>
      <c r="AI136" s="198"/>
      <c r="AJ136" s="198"/>
      <c r="AK136" s="198"/>
      <c r="AL136" s="198"/>
      <c r="AM136" s="198"/>
      <c r="AN136" s="198"/>
      <c r="AO136" s="198"/>
      <c r="AP136" s="198"/>
      <c r="AQ136" s="198"/>
      <c r="AR136" s="15">
        <f t="shared" si="3"/>
        <v>34</v>
      </c>
    </row>
    <row r="137" spans="1:48" ht="16.5" customHeight="1">
      <c r="A137" s="197"/>
      <c r="B137" s="197"/>
      <c r="AI137" s="200" t="str">
        <f>'1'!$AI$1</f>
        <v>R4健障障第100号</v>
      </c>
      <c r="AJ137" s="200"/>
      <c r="AK137" s="200"/>
      <c r="AL137" s="200"/>
      <c r="AM137" s="200"/>
      <c r="AN137" s="200"/>
      <c r="AO137" s="200"/>
      <c r="AP137" s="200"/>
      <c r="AQ137" s="200"/>
      <c r="AR137" s="15">
        <v>1</v>
      </c>
    </row>
    <row r="138" spans="1:48" ht="16.5" customHeight="1">
      <c r="A138" s="197"/>
      <c r="B138" s="197"/>
      <c r="AI138" s="201">
        <f>'1'!$AI$2</f>
        <v>44677</v>
      </c>
      <c r="AJ138" s="201"/>
      <c r="AK138" s="201"/>
      <c r="AL138" s="201"/>
      <c r="AM138" s="201"/>
      <c r="AN138" s="201"/>
      <c r="AO138" s="201"/>
      <c r="AP138" s="201"/>
      <c r="AQ138" s="201"/>
      <c r="AR138" s="15">
        <f>AR137+1</f>
        <v>2</v>
      </c>
    </row>
    <row r="139" spans="1:48" ht="18.75" customHeight="1">
      <c r="A139" s="198"/>
      <c r="B139" s="198"/>
      <c r="C139" s="198"/>
      <c r="D139" s="198"/>
      <c r="E139" s="198"/>
      <c r="F139" s="198"/>
      <c r="G139" s="198"/>
      <c r="H139" s="198"/>
      <c r="I139" s="198"/>
      <c r="J139" s="198"/>
      <c r="K139" s="198"/>
      <c r="L139" s="198"/>
      <c r="M139" s="198"/>
      <c r="N139" s="198"/>
      <c r="O139" s="198"/>
      <c r="P139" s="198"/>
      <c r="Q139" s="198"/>
      <c r="R139" s="198"/>
      <c r="S139" s="198"/>
      <c r="T139" s="198"/>
      <c r="U139" s="198"/>
      <c r="V139" s="198"/>
      <c r="W139" s="198"/>
      <c r="X139" s="198"/>
      <c r="Y139" s="198"/>
      <c r="Z139" s="198"/>
      <c r="AA139" s="198"/>
      <c r="AB139" s="198"/>
      <c r="AC139" s="198"/>
      <c r="AD139" s="198"/>
      <c r="AE139" s="198"/>
      <c r="AF139" s="198"/>
      <c r="AG139" s="198"/>
      <c r="AH139" s="198"/>
      <c r="AI139" s="198"/>
      <c r="AJ139" s="198"/>
      <c r="AK139" s="198"/>
      <c r="AL139" s="198"/>
      <c r="AM139" s="198"/>
      <c r="AN139" s="198"/>
      <c r="AO139" s="198"/>
      <c r="AP139" s="198"/>
      <c r="AQ139" s="198"/>
      <c r="AR139" s="15">
        <f t="shared" ref="AR139:AR170" si="4">AR138+1</f>
        <v>3</v>
      </c>
    </row>
    <row r="140" spans="1:48" ht="18.75" customHeight="1">
      <c r="A140" s="199" t="str">
        <f>INDEX(送付先一覧!A:O,MATCH(AV140,送付先一覧!A:A,0),4)</f>
        <v>社会福祉法人　つどいの家</v>
      </c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  <c r="Z140" s="199"/>
      <c r="AA140" s="199"/>
      <c r="AB140" s="199"/>
      <c r="AC140" s="199"/>
      <c r="AD140" s="199"/>
      <c r="AE140" s="199"/>
      <c r="AF140" s="199"/>
      <c r="AG140" s="199"/>
      <c r="AH140" s="199"/>
      <c r="AI140" s="199"/>
      <c r="AJ140" s="199"/>
      <c r="AK140" s="199"/>
      <c r="AL140" s="199"/>
      <c r="AM140" s="199"/>
      <c r="AN140" s="199"/>
      <c r="AO140" s="199"/>
      <c r="AP140" s="199"/>
      <c r="AQ140" s="199"/>
      <c r="AR140" s="15">
        <f t="shared" si="4"/>
        <v>4</v>
      </c>
      <c r="AV140" s="65">
        <f>AV106+1</f>
        <v>25</v>
      </c>
    </row>
    <row r="141" spans="1:48" ht="18.75" customHeight="1">
      <c r="A141" s="202" t="str">
        <f>INDEX(送付先一覧!A:O,MATCH(AV140,送付先一覧!A:A,0),5)</f>
        <v>理事長　佐藤　清</v>
      </c>
      <c r="B141" s="202"/>
      <c r="C141" s="202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15">
        <f t="shared" si="4"/>
        <v>5</v>
      </c>
    </row>
    <row r="142" spans="1:48" ht="18.75" customHeight="1">
      <c r="A142" s="198"/>
      <c r="B142" s="198"/>
      <c r="C142" s="198"/>
      <c r="D142" s="198"/>
      <c r="E142" s="198"/>
      <c r="F142" s="198"/>
      <c r="G142" s="198"/>
      <c r="H142" s="198"/>
      <c r="I142" s="198"/>
      <c r="J142" s="198"/>
      <c r="K142" s="198"/>
      <c r="L142" s="198"/>
      <c r="M142" s="198"/>
      <c r="N142" s="198"/>
      <c r="O142" s="198"/>
      <c r="P142" s="198"/>
      <c r="Q142" s="198"/>
      <c r="R142" s="198"/>
      <c r="S142" s="198"/>
      <c r="T142" s="198"/>
      <c r="U142" s="198"/>
      <c r="V142" s="198"/>
      <c r="W142" s="198"/>
      <c r="X142" s="198"/>
      <c r="Y142" s="198"/>
      <c r="Z142" s="198"/>
      <c r="AA142" s="198"/>
      <c r="AB142" s="198"/>
      <c r="AC142" s="198"/>
      <c r="AD142" s="198"/>
      <c r="AE142" s="198"/>
      <c r="AF142" s="198"/>
      <c r="AG142" s="198"/>
      <c r="AH142" s="198"/>
      <c r="AI142" s="198"/>
      <c r="AJ142" s="198"/>
      <c r="AK142" s="198"/>
      <c r="AL142" s="198"/>
      <c r="AM142" s="198"/>
      <c r="AN142" s="198"/>
      <c r="AO142" s="198"/>
      <c r="AP142" s="198"/>
      <c r="AQ142" s="198"/>
      <c r="AR142" s="15">
        <f t="shared" si="4"/>
        <v>6</v>
      </c>
    </row>
    <row r="143" spans="1:48" ht="18.75" customHeight="1">
      <c r="V143" s="199" t="str">
        <f>'1'!$V$7</f>
        <v>仙台市健康福祉局障害福祉部障害企画課長　　</v>
      </c>
      <c r="W143" s="199"/>
      <c r="X143" s="199"/>
      <c r="Y143" s="199"/>
      <c r="Z143" s="199"/>
      <c r="AA143" s="199"/>
      <c r="AB143" s="199"/>
      <c r="AC143" s="199"/>
      <c r="AD143" s="199"/>
      <c r="AE143" s="199"/>
      <c r="AF143" s="199"/>
      <c r="AG143" s="199"/>
      <c r="AH143" s="199"/>
      <c r="AI143" s="199"/>
      <c r="AJ143" s="199"/>
      <c r="AK143" s="199"/>
      <c r="AL143" s="199"/>
      <c r="AM143" s="199"/>
      <c r="AN143" s="199"/>
      <c r="AO143" s="199"/>
      <c r="AP143" s="199"/>
      <c r="AQ143" s="199"/>
      <c r="AR143" s="15">
        <f t="shared" si="4"/>
        <v>7</v>
      </c>
    </row>
    <row r="144" spans="1:48" ht="18.75" customHeight="1">
      <c r="V144" s="199" t="str">
        <f>'1'!$V$8</f>
        <v>仙台市健康福祉局障害福祉部障害者支援課長　</v>
      </c>
      <c r="W144" s="199"/>
      <c r="X144" s="199"/>
      <c r="Y144" s="199"/>
      <c r="Z144" s="199"/>
      <c r="AA144" s="199"/>
      <c r="AB144" s="199"/>
      <c r="AC144" s="199"/>
      <c r="AD144" s="199"/>
      <c r="AE144" s="199"/>
      <c r="AF144" s="199"/>
      <c r="AG144" s="199"/>
      <c r="AH144" s="199"/>
      <c r="AI144" s="199"/>
      <c r="AJ144" s="199"/>
      <c r="AK144" s="199"/>
      <c r="AL144" s="199"/>
      <c r="AM144" s="199"/>
      <c r="AN144" s="199"/>
      <c r="AO144" s="199"/>
      <c r="AP144" s="199"/>
      <c r="AQ144" s="199"/>
      <c r="AR144" s="15">
        <f t="shared" si="4"/>
        <v>8</v>
      </c>
    </row>
    <row r="145" spans="1:44" ht="18.75" customHeight="1">
      <c r="A145" s="198"/>
      <c r="B145" s="198"/>
      <c r="C145" s="198"/>
      <c r="D145" s="198"/>
      <c r="E145" s="198"/>
      <c r="F145" s="198"/>
      <c r="G145" s="198"/>
      <c r="H145" s="198"/>
      <c r="I145" s="198"/>
      <c r="J145" s="198"/>
      <c r="K145" s="198"/>
      <c r="L145" s="198"/>
      <c r="M145" s="198"/>
      <c r="N145" s="198"/>
      <c r="O145" s="198"/>
      <c r="P145" s="198"/>
      <c r="Q145" s="198"/>
      <c r="R145" s="198"/>
      <c r="S145" s="198"/>
      <c r="T145" s="198"/>
      <c r="U145" s="198"/>
      <c r="V145" s="198"/>
      <c r="W145" s="198"/>
      <c r="X145" s="198"/>
      <c r="Y145" s="198"/>
      <c r="Z145" s="198"/>
      <c r="AA145" s="198"/>
      <c r="AB145" s="198"/>
      <c r="AC145" s="198"/>
      <c r="AD145" s="198"/>
      <c r="AE145" s="198"/>
      <c r="AF145" s="198"/>
      <c r="AG145" s="198"/>
      <c r="AH145" s="198"/>
      <c r="AI145" s="198"/>
      <c r="AJ145" s="198"/>
      <c r="AK145" s="198"/>
      <c r="AL145" s="198"/>
      <c r="AM145" s="198"/>
      <c r="AN145" s="198"/>
      <c r="AO145" s="198"/>
      <c r="AP145" s="198"/>
      <c r="AQ145" s="198"/>
      <c r="AR145" s="15">
        <f t="shared" si="4"/>
        <v>9</v>
      </c>
    </row>
    <row r="146" spans="1:44" ht="22.5" customHeight="1">
      <c r="A146" s="203" t="str">
        <f>'1'!$A$10</f>
        <v>令和４年度仙台市障害福祉分野のICT導入モデル事業補助金の内示について</v>
      </c>
      <c r="B146" s="203"/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15">
        <f t="shared" si="4"/>
        <v>10</v>
      </c>
    </row>
    <row r="147" spans="1:44" ht="18.75" customHeight="1">
      <c r="A147" s="198"/>
      <c r="B147" s="198"/>
      <c r="C147" s="198"/>
      <c r="D147" s="198"/>
      <c r="E147" s="198"/>
      <c r="F147" s="198"/>
      <c r="G147" s="198"/>
      <c r="H147" s="198"/>
      <c r="I147" s="198"/>
      <c r="J147" s="198"/>
      <c r="K147" s="198"/>
      <c r="L147" s="198"/>
      <c r="M147" s="198"/>
      <c r="N147" s="198"/>
      <c r="O147" s="198"/>
      <c r="P147" s="198"/>
      <c r="Q147" s="198"/>
      <c r="R147" s="198"/>
      <c r="S147" s="198"/>
      <c r="T147" s="198"/>
      <c r="U147" s="198"/>
      <c r="V147" s="198"/>
      <c r="W147" s="198"/>
      <c r="X147" s="198"/>
      <c r="Y147" s="198"/>
      <c r="Z147" s="198"/>
      <c r="AA147" s="198"/>
      <c r="AB147" s="198"/>
      <c r="AC147" s="198"/>
      <c r="AD147" s="198"/>
      <c r="AE147" s="198"/>
      <c r="AF147" s="198"/>
      <c r="AG147" s="198"/>
      <c r="AH147" s="198"/>
      <c r="AI147" s="198"/>
      <c r="AJ147" s="198"/>
      <c r="AK147" s="198"/>
      <c r="AL147" s="198"/>
      <c r="AM147" s="198"/>
      <c r="AN147" s="198"/>
      <c r="AO147" s="198"/>
      <c r="AP147" s="198"/>
      <c r="AQ147" s="198"/>
      <c r="AR147" s="15">
        <f t="shared" si="4"/>
        <v>11</v>
      </c>
    </row>
    <row r="148" spans="1:44" ht="93.75" customHeight="1">
      <c r="A148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48" s="205"/>
      <c r="C148" s="205"/>
      <c r="D148" s="205"/>
      <c r="E148" s="205"/>
      <c r="F148" s="205"/>
      <c r="G148" s="205"/>
      <c r="H148" s="205"/>
      <c r="I148" s="205"/>
      <c r="J148" s="205"/>
      <c r="K148" s="205"/>
      <c r="L148" s="205"/>
      <c r="M148" s="205"/>
      <c r="N148" s="205"/>
      <c r="O148" s="205"/>
      <c r="P148" s="205"/>
      <c r="Q148" s="205"/>
      <c r="R148" s="205"/>
      <c r="S148" s="205"/>
      <c r="T148" s="205"/>
      <c r="U148" s="205"/>
      <c r="V148" s="205"/>
      <c r="W148" s="205"/>
      <c r="X148" s="205"/>
      <c r="Y148" s="205"/>
      <c r="Z148" s="205"/>
      <c r="AA148" s="205"/>
      <c r="AB148" s="205"/>
      <c r="AC148" s="205"/>
      <c r="AD148" s="205"/>
      <c r="AE148" s="205"/>
      <c r="AF148" s="205"/>
      <c r="AG148" s="205"/>
      <c r="AH148" s="205"/>
      <c r="AI148" s="205"/>
      <c r="AJ148" s="205"/>
      <c r="AK148" s="205"/>
      <c r="AL148" s="205"/>
      <c r="AM148" s="205"/>
      <c r="AN148" s="205"/>
      <c r="AO148" s="205"/>
      <c r="AP148" s="205"/>
      <c r="AQ148" s="205"/>
      <c r="AR148" s="15">
        <f t="shared" si="4"/>
        <v>12</v>
      </c>
    </row>
    <row r="149" spans="1:44" ht="18.75" customHeight="1">
      <c r="A149" s="198"/>
      <c r="B149" s="198"/>
      <c r="C149" s="198"/>
      <c r="D149" s="198"/>
      <c r="E149" s="198"/>
      <c r="F149" s="198"/>
      <c r="G149" s="198"/>
      <c r="H149" s="198"/>
      <c r="I149" s="198"/>
      <c r="J149" s="198"/>
      <c r="K149" s="198"/>
      <c r="L149" s="198"/>
      <c r="M149" s="198"/>
      <c r="N149" s="198"/>
      <c r="O149" s="198"/>
      <c r="P149" s="198"/>
      <c r="Q149" s="198"/>
      <c r="R149" s="198"/>
      <c r="S149" s="198"/>
      <c r="T149" s="198"/>
      <c r="U149" s="198"/>
      <c r="V149" s="198"/>
      <c r="W149" s="198"/>
      <c r="X149" s="198"/>
      <c r="Y149" s="198"/>
      <c r="Z149" s="198"/>
      <c r="AA149" s="198"/>
      <c r="AB149" s="198"/>
      <c r="AC149" s="198"/>
      <c r="AD149" s="198"/>
      <c r="AE149" s="198"/>
      <c r="AF149" s="198"/>
      <c r="AG149" s="198"/>
      <c r="AH149" s="198"/>
      <c r="AI149" s="198"/>
      <c r="AJ149" s="198"/>
      <c r="AK149" s="198"/>
      <c r="AL149" s="198"/>
      <c r="AM149" s="198"/>
      <c r="AN149" s="198"/>
      <c r="AO149" s="198"/>
      <c r="AP149" s="198"/>
      <c r="AQ149" s="198"/>
      <c r="AR149" s="15">
        <f t="shared" si="4"/>
        <v>13</v>
      </c>
    </row>
    <row r="150" spans="1:44" ht="18.75" customHeight="1">
      <c r="A150" s="197" t="str">
        <f>'1'!$A$14</f>
        <v>記</v>
      </c>
      <c r="B150" s="197"/>
      <c r="C150" s="197"/>
      <c r="D150" s="197"/>
      <c r="E150" s="197"/>
      <c r="F150" s="197"/>
      <c r="G150" s="197"/>
      <c r="H150" s="197"/>
      <c r="I150" s="197"/>
      <c r="J150" s="197"/>
      <c r="K150" s="197"/>
      <c r="L150" s="197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  <c r="AA150" s="197"/>
      <c r="AB150" s="197"/>
      <c r="AC150" s="197"/>
      <c r="AD150" s="197"/>
      <c r="AE150" s="197"/>
      <c r="AF150" s="197"/>
      <c r="AG150" s="197"/>
      <c r="AH150" s="197"/>
      <c r="AI150" s="197"/>
      <c r="AJ150" s="197"/>
      <c r="AK150" s="197"/>
      <c r="AL150" s="197"/>
      <c r="AM150" s="197"/>
      <c r="AN150" s="197"/>
      <c r="AO150" s="197"/>
      <c r="AP150" s="197"/>
      <c r="AQ150" s="197"/>
      <c r="AR150" s="15">
        <f t="shared" si="4"/>
        <v>14</v>
      </c>
    </row>
    <row r="151" spans="1:44" ht="18.75" customHeight="1">
      <c r="A151" s="198"/>
      <c r="B151" s="198"/>
      <c r="C151" s="198"/>
      <c r="D151" s="198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  <c r="AB151" s="198"/>
      <c r="AC151" s="198"/>
      <c r="AD151" s="198"/>
      <c r="AE151" s="198"/>
      <c r="AF151" s="198"/>
      <c r="AG151" s="198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5">
        <f t="shared" si="4"/>
        <v>15</v>
      </c>
    </row>
    <row r="152" spans="1:44" ht="18.75" customHeight="1">
      <c r="I152" s="199" t="str">
        <f>'1'!$I$16</f>
        <v>補助内示額</v>
      </c>
      <c r="J152" s="199"/>
      <c r="K152" s="199"/>
      <c r="L152" s="199"/>
      <c r="M152" s="199"/>
      <c r="N152" s="199"/>
      <c r="S152" s="206">
        <f>INDEX(送付先一覧!A:O,MATCH(AV140,送付先一覧!A:A,0),12)</f>
        <v>666000</v>
      </c>
      <c r="T152" s="206"/>
      <c r="U152" s="206"/>
      <c r="V152" s="206"/>
      <c r="W152" s="206"/>
      <c r="X152" s="206"/>
      <c r="Y152" s="206"/>
      <c r="Z152" s="206"/>
      <c r="AA152" s="206"/>
      <c r="AB152" s="206"/>
      <c r="AC152" s="206"/>
      <c r="AD152" s="206"/>
      <c r="AE152" s="206"/>
      <c r="AF152" s="199"/>
      <c r="AG152" s="199"/>
      <c r="AH152" s="199"/>
      <c r="AI152" s="199"/>
      <c r="AR152" s="15">
        <f t="shared" si="4"/>
        <v>16</v>
      </c>
    </row>
    <row r="153" spans="1:44" ht="18.75" customHeight="1">
      <c r="I153" s="199" t="str">
        <f>'1'!$I$17</f>
        <v>事業種別</v>
      </c>
      <c r="J153" s="199"/>
      <c r="K153" s="199"/>
      <c r="L153" s="199"/>
      <c r="M153" s="199"/>
      <c r="N153" s="199"/>
      <c r="O153" s="199"/>
      <c r="P153" s="199"/>
      <c r="Q153" s="199"/>
      <c r="R153" s="199"/>
      <c r="S153" s="199" t="str">
        <f>INDEX(送付先一覧!A:O,MATCH(AV140,送付先一覧!A:A,0),9)</f>
        <v>共同生活援助</v>
      </c>
      <c r="T153" s="199"/>
      <c r="U153" s="199"/>
      <c r="V153" s="199"/>
      <c r="W153" s="199"/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99"/>
      <c r="AI153" s="199"/>
      <c r="AJ153" s="199"/>
      <c r="AK153" s="199"/>
      <c r="AL153" s="199"/>
      <c r="AM153" s="199"/>
      <c r="AN153" s="199"/>
      <c r="AO153" s="199"/>
      <c r="AP153" s="199"/>
      <c r="AR153" s="15">
        <f t="shared" si="4"/>
        <v>17</v>
      </c>
    </row>
    <row r="154" spans="1:44" ht="18.75" customHeight="1">
      <c r="I154" s="199" t="str">
        <f>'1'!$I$18</f>
        <v>事業所名</v>
      </c>
      <c r="J154" s="199"/>
      <c r="K154" s="199"/>
      <c r="L154" s="199"/>
      <c r="M154" s="199"/>
      <c r="N154" s="199"/>
      <c r="O154" s="199"/>
      <c r="P154" s="199"/>
      <c r="Q154" s="199"/>
      <c r="R154" s="199"/>
      <c r="S154" s="204" t="str">
        <f>INDEX(送付先一覧!A:O,MATCH(AV140,送付先一覧!A:A,0),8)</f>
        <v>ひこうき雲</v>
      </c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15">
        <f t="shared" si="4"/>
        <v>18</v>
      </c>
    </row>
    <row r="155" spans="1:44" ht="18.75" customHeight="1">
      <c r="I155" s="198"/>
      <c r="J155" s="198"/>
      <c r="K155" s="198"/>
      <c r="L155" s="198"/>
      <c r="M155" s="198"/>
      <c r="N155" s="198"/>
      <c r="O155" s="198"/>
      <c r="P155" s="198"/>
      <c r="Q155" s="198"/>
      <c r="R155" s="198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15">
        <f t="shared" si="4"/>
        <v>19</v>
      </c>
    </row>
    <row r="156" spans="1:44" ht="18.75" customHeight="1"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  <c r="S156" s="198"/>
      <c r="T156" s="198"/>
      <c r="U156" s="198"/>
      <c r="V156" s="198"/>
      <c r="W156" s="198"/>
      <c r="X156" s="198"/>
      <c r="Y156" s="198"/>
      <c r="Z156" s="198"/>
      <c r="AA156" s="198"/>
      <c r="AB156" s="198"/>
      <c r="AC156" s="198"/>
      <c r="AD156" s="198"/>
      <c r="AE156" s="198"/>
      <c r="AF156" s="198"/>
      <c r="AG156" s="198"/>
      <c r="AH156" s="198"/>
      <c r="AI156" s="198"/>
      <c r="AR156" s="15">
        <f t="shared" si="4"/>
        <v>20</v>
      </c>
    </row>
    <row r="157" spans="1:44" ht="18.75" customHeight="1">
      <c r="A157" s="198"/>
      <c r="B157" s="198"/>
      <c r="C157" s="198"/>
      <c r="D157" s="198"/>
      <c r="E157" s="198"/>
      <c r="F157" s="198"/>
      <c r="G157" s="198"/>
      <c r="H157" s="198"/>
      <c r="I157" s="198"/>
      <c r="J157" s="198"/>
      <c r="K157" s="198"/>
      <c r="L157" s="198"/>
      <c r="M157" s="198"/>
      <c r="N157" s="198"/>
      <c r="O157" s="198"/>
      <c r="P157" s="198"/>
      <c r="Q157" s="198"/>
      <c r="R157" s="198"/>
      <c r="S157" s="198"/>
      <c r="T157" s="198"/>
      <c r="U157" s="198"/>
      <c r="V157" s="198"/>
      <c r="W157" s="198"/>
      <c r="X157" s="198"/>
      <c r="Y157" s="198"/>
      <c r="Z157" s="198"/>
      <c r="AA157" s="198"/>
      <c r="AB157" s="198"/>
      <c r="AC157" s="198"/>
      <c r="AD157" s="198"/>
      <c r="AE157" s="198"/>
      <c r="AF157" s="198"/>
      <c r="AG157" s="198"/>
      <c r="AH157" s="198"/>
      <c r="AI157" s="198"/>
      <c r="AJ157" s="198"/>
      <c r="AK157" s="198"/>
      <c r="AL157" s="198"/>
      <c r="AM157" s="198"/>
      <c r="AN157" s="198"/>
      <c r="AO157" s="198"/>
      <c r="AP157" s="198"/>
      <c r="AQ157" s="198"/>
      <c r="AR157" s="15">
        <f t="shared" si="4"/>
        <v>21</v>
      </c>
    </row>
    <row r="158" spans="1:44" ht="18.75" customHeight="1">
      <c r="A158" s="198"/>
      <c r="B158" s="198"/>
      <c r="C158" s="198"/>
      <c r="D158" s="198"/>
      <c r="E158" s="198"/>
      <c r="F158" s="198"/>
      <c r="G158" s="198"/>
      <c r="H158" s="198"/>
      <c r="I158" s="198"/>
      <c r="J158" s="198"/>
      <c r="K158" s="198"/>
      <c r="L158" s="198"/>
      <c r="M158" s="198"/>
      <c r="N158" s="198"/>
      <c r="O158" s="198"/>
      <c r="P158" s="198"/>
      <c r="Q158" s="198"/>
      <c r="R158" s="198"/>
      <c r="S158" s="198"/>
      <c r="T158" s="198"/>
      <c r="U158" s="198"/>
      <c r="V158" s="198"/>
      <c r="W158" s="198"/>
      <c r="X158" s="198"/>
      <c r="Y158" s="198"/>
      <c r="Z158" s="198"/>
      <c r="AA158" s="198"/>
      <c r="AB158" s="198"/>
      <c r="AC158" s="198"/>
      <c r="AD158" s="198"/>
      <c r="AE158" s="198"/>
      <c r="AF158" s="198"/>
      <c r="AG158" s="198"/>
      <c r="AH158" s="198"/>
      <c r="AI158" s="198"/>
      <c r="AJ158" s="198"/>
      <c r="AK158" s="198"/>
      <c r="AL158" s="198"/>
      <c r="AM158" s="198"/>
      <c r="AN158" s="198"/>
      <c r="AO158" s="198"/>
      <c r="AP158" s="198"/>
      <c r="AQ158" s="198"/>
      <c r="AR158" s="15">
        <f t="shared" si="4"/>
        <v>22</v>
      </c>
    </row>
    <row r="159" spans="1:44" ht="18.75" customHeight="1">
      <c r="A159" s="198"/>
      <c r="B159" s="198"/>
      <c r="C159" s="198"/>
      <c r="D159" s="198"/>
      <c r="E159" s="198"/>
      <c r="F159" s="198"/>
      <c r="G159" s="198"/>
      <c r="H159" s="198"/>
      <c r="I159" s="198"/>
      <c r="J159" s="198"/>
      <c r="K159" s="198"/>
      <c r="L159" s="198"/>
      <c r="M159" s="198"/>
      <c r="N159" s="198"/>
      <c r="O159" s="198"/>
      <c r="P159" s="198"/>
      <c r="Q159" s="198"/>
      <c r="R159" s="198"/>
      <c r="S159" s="198"/>
      <c r="T159" s="198"/>
      <c r="U159" s="198"/>
      <c r="V159" s="198"/>
      <c r="W159" s="198"/>
      <c r="X159" s="198"/>
      <c r="Y159" s="198"/>
      <c r="Z159" s="198"/>
      <c r="AA159" s="198"/>
      <c r="AB159" s="198"/>
      <c r="AC159" s="198"/>
      <c r="AD159" s="198"/>
      <c r="AE159" s="198"/>
      <c r="AF159" s="198"/>
      <c r="AG159" s="198"/>
      <c r="AH159" s="198"/>
      <c r="AI159" s="198"/>
      <c r="AJ159" s="198"/>
      <c r="AK159" s="198"/>
      <c r="AL159" s="198"/>
      <c r="AM159" s="198"/>
      <c r="AN159" s="198"/>
      <c r="AO159" s="198"/>
      <c r="AP159" s="198"/>
      <c r="AQ159" s="198"/>
      <c r="AR159" s="15">
        <f t="shared" si="4"/>
        <v>23</v>
      </c>
    </row>
    <row r="160" spans="1:44" ht="18.75" customHeight="1">
      <c r="A160" s="198"/>
      <c r="B160" s="198"/>
      <c r="C160" s="198"/>
      <c r="D160" s="198"/>
      <c r="E160" s="198"/>
      <c r="F160" s="198"/>
      <c r="G160" s="198"/>
      <c r="H160" s="198"/>
      <c r="I160" s="198"/>
      <c r="J160" s="198"/>
      <c r="K160" s="198"/>
      <c r="L160" s="198"/>
      <c r="M160" s="198"/>
      <c r="N160" s="198"/>
      <c r="O160" s="198"/>
      <c r="P160" s="198"/>
      <c r="Q160" s="198"/>
      <c r="R160" s="198"/>
      <c r="S160" s="198"/>
      <c r="T160" s="198"/>
      <c r="U160" s="198"/>
      <c r="V160" s="198"/>
      <c r="W160" s="198"/>
      <c r="X160" s="198"/>
      <c r="Y160" s="198"/>
      <c r="Z160" s="198"/>
      <c r="AA160" s="198"/>
      <c r="AB160" s="198"/>
      <c r="AC160" s="198"/>
      <c r="AD160" s="198"/>
      <c r="AE160" s="198"/>
      <c r="AF160" s="198"/>
      <c r="AG160" s="198"/>
      <c r="AH160" s="198"/>
      <c r="AI160" s="198"/>
      <c r="AJ160" s="198"/>
      <c r="AK160" s="198"/>
      <c r="AL160" s="198"/>
      <c r="AM160" s="198"/>
      <c r="AN160" s="198"/>
      <c r="AO160" s="198"/>
      <c r="AP160" s="198"/>
      <c r="AQ160" s="198"/>
      <c r="AR160" s="15">
        <f t="shared" si="4"/>
        <v>24</v>
      </c>
    </row>
    <row r="161" spans="1:48" ht="18.75" customHeight="1">
      <c r="A161" s="198"/>
      <c r="B161" s="198"/>
      <c r="C161" s="198"/>
      <c r="D161" s="198"/>
      <c r="E161" s="198"/>
      <c r="F161" s="198"/>
      <c r="G161" s="198"/>
      <c r="H161" s="198"/>
      <c r="I161" s="198"/>
      <c r="J161" s="198"/>
      <c r="K161" s="198"/>
      <c r="L161" s="198"/>
      <c r="M161" s="198"/>
      <c r="N161" s="198"/>
      <c r="O161" s="198"/>
      <c r="P161" s="198"/>
      <c r="Q161" s="198"/>
      <c r="R161" s="198"/>
      <c r="S161" s="198"/>
      <c r="T161" s="198"/>
      <c r="U161" s="198"/>
      <c r="V161" s="198"/>
      <c r="W161" s="198"/>
      <c r="X161" s="198"/>
      <c r="Y161" s="198"/>
      <c r="Z161" s="198"/>
      <c r="AA161" s="198"/>
      <c r="AB161" s="198"/>
      <c r="AC161" s="198"/>
      <c r="AD161" s="198"/>
      <c r="AE161" s="198"/>
      <c r="AF161" s="198"/>
      <c r="AG161" s="198"/>
      <c r="AH161" s="198"/>
      <c r="AI161" s="198"/>
      <c r="AJ161" s="198"/>
      <c r="AK161" s="198"/>
      <c r="AL161" s="198"/>
      <c r="AM161" s="198"/>
      <c r="AN161" s="198"/>
      <c r="AO161" s="198"/>
      <c r="AP161" s="198"/>
      <c r="AQ161" s="198"/>
      <c r="AR161" s="15">
        <f t="shared" si="4"/>
        <v>25</v>
      </c>
    </row>
    <row r="162" spans="1:48" ht="18.75" customHeight="1">
      <c r="A162" s="198"/>
      <c r="B162" s="198"/>
      <c r="C162" s="198"/>
      <c r="D162" s="198"/>
      <c r="E162" s="198"/>
      <c r="F162" s="198"/>
      <c r="G162" s="198"/>
      <c r="H162" s="198"/>
      <c r="I162" s="198"/>
      <c r="J162" s="198"/>
      <c r="K162" s="198"/>
      <c r="L162" s="198"/>
      <c r="M162" s="198"/>
      <c r="N162" s="198"/>
      <c r="O162" s="198"/>
      <c r="P162" s="198"/>
      <c r="Q162" s="198"/>
      <c r="R162" s="198"/>
      <c r="S162" s="198"/>
      <c r="T162" s="198"/>
      <c r="U162" s="198"/>
      <c r="V162" s="198"/>
      <c r="W162" s="198"/>
      <c r="X162" s="198"/>
      <c r="Y162" s="198"/>
      <c r="Z162" s="198"/>
      <c r="AA162" s="198"/>
      <c r="AB162" s="198"/>
      <c r="AC162" s="198"/>
      <c r="AD162" s="198"/>
      <c r="AE162" s="198"/>
      <c r="AF162" s="198"/>
      <c r="AG162" s="198"/>
      <c r="AH162" s="198"/>
      <c r="AI162" s="198"/>
      <c r="AJ162" s="198"/>
      <c r="AK162" s="198"/>
      <c r="AL162" s="198"/>
      <c r="AM162" s="198"/>
      <c r="AN162" s="198"/>
      <c r="AO162" s="198"/>
      <c r="AP162" s="198"/>
      <c r="AQ162" s="198"/>
      <c r="AR162" s="15">
        <f t="shared" si="4"/>
        <v>26</v>
      </c>
    </row>
    <row r="163" spans="1:48" ht="18.75" customHeight="1">
      <c r="A163" s="198"/>
      <c r="B163" s="198"/>
      <c r="C163" s="198"/>
      <c r="D163" s="198"/>
      <c r="E163" s="198"/>
      <c r="F163" s="198"/>
      <c r="G163" s="198"/>
      <c r="H163" s="198"/>
      <c r="I163" s="198"/>
      <c r="J163" s="198"/>
      <c r="K163" s="198"/>
      <c r="L163" s="198"/>
      <c r="M163" s="198"/>
      <c r="N163" s="198"/>
      <c r="O163" s="198"/>
      <c r="P163" s="198"/>
      <c r="Q163" s="198"/>
      <c r="R163" s="198"/>
      <c r="S163" s="198"/>
      <c r="T163" s="198"/>
      <c r="U163" s="198"/>
      <c r="V163" s="198"/>
      <c r="W163" s="198"/>
      <c r="X163" s="198"/>
      <c r="Y163" s="198"/>
      <c r="Z163" s="198"/>
      <c r="AA163" s="198"/>
      <c r="AB163" s="198"/>
      <c r="AC163" s="198"/>
      <c r="AD163" s="198"/>
      <c r="AE163" s="198"/>
      <c r="AF163" s="198"/>
      <c r="AG163" s="198"/>
      <c r="AH163" s="198"/>
      <c r="AI163" s="198"/>
      <c r="AJ163" s="198"/>
      <c r="AK163" s="198"/>
      <c r="AL163" s="198"/>
      <c r="AM163" s="198"/>
      <c r="AN163" s="198"/>
      <c r="AO163" s="198"/>
      <c r="AP163" s="198"/>
      <c r="AQ163" s="198"/>
      <c r="AR163" s="15">
        <f t="shared" si="4"/>
        <v>27</v>
      </c>
    </row>
    <row r="164" spans="1:48" ht="18.75" customHeight="1">
      <c r="A164" s="198"/>
      <c r="B164" s="198"/>
      <c r="C164" s="198"/>
      <c r="D164" s="198"/>
      <c r="E164" s="198"/>
      <c r="F164" s="198"/>
      <c r="G164" s="198"/>
      <c r="H164" s="198"/>
      <c r="I164" s="198"/>
      <c r="J164" s="198"/>
      <c r="K164" s="198"/>
      <c r="L164" s="198"/>
      <c r="M164" s="198"/>
      <c r="N164" s="198"/>
      <c r="O164" s="198"/>
      <c r="P164" s="198"/>
      <c r="Q164" s="198"/>
      <c r="R164" s="198"/>
      <c r="S164" s="198"/>
      <c r="T164" s="198"/>
      <c r="U164" s="198"/>
      <c r="V164" s="198"/>
      <c r="W164" s="198"/>
      <c r="X164" s="198"/>
      <c r="Y164" s="198"/>
      <c r="Z164" s="198"/>
      <c r="AA164" s="198"/>
      <c r="AB164" s="198"/>
      <c r="AC164" s="198"/>
      <c r="AD164" s="198"/>
      <c r="AE164" s="198"/>
      <c r="AF164" s="198"/>
      <c r="AG164" s="198"/>
      <c r="AH164" s="198"/>
      <c r="AI164" s="198"/>
      <c r="AJ164" s="198"/>
      <c r="AK164" s="198"/>
      <c r="AL164" s="198"/>
      <c r="AM164" s="198"/>
      <c r="AN164" s="198"/>
      <c r="AO164" s="198"/>
      <c r="AP164" s="198"/>
      <c r="AQ164" s="198"/>
      <c r="AR164" s="15">
        <f t="shared" si="4"/>
        <v>28</v>
      </c>
    </row>
    <row r="165" spans="1:48" ht="18.75" customHeight="1">
      <c r="A165" s="198"/>
      <c r="B165" s="198"/>
      <c r="C165" s="198"/>
      <c r="D165" s="198"/>
      <c r="E165" s="198"/>
      <c r="F165" s="198"/>
      <c r="G165" s="198"/>
      <c r="H165" s="198"/>
      <c r="I165" s="198"/>
      <c r="J165" s="198"/>
      <c r="K165" s="198"/>
      <c r="L165" s="198"/>
      <c r="M165" s="198"/>
      <c r="N165" s="198"/>
      <c r="O165" s="198"/>
      <c r="P165" s="198"/>
      <c r="Q165" s="198"/>
      <c r="R165" s="198"/>
      <c r="S165" s="198"/>
      <c r="T165" s="198"/>
      <c r="U165" s="198"/>
      <c r="V165" s="198"/>
      <c r="W165" s="198"/>
      <c r="X165" s="198"/>
      <c r="Y165" s="198"/>
      <c r="Z165" s="198"/>
      <c r="AA165" s="198"/>
      <c r="AB165" s="198"/>
      <c r="AC165" s="198"/>
      <c r="AD165" s="198"/>
      <c r="AE165" s="198"/>
      <c r="AF165" s="198"/>
      <c r="AG165" s="198"/>
      <c r="AH165" s="198"/>
      <c r="AI165" s="198"/>
      <c r="AJ165" s="198"/>
      <c r="AK165" s="198"/>
      <c r="AL165" s="198"/>
      <c r="AM165" s="198"/>
      <c r="AN165" s="198"/>
      <c r="AO165" s="198"/>
      <c r="AP165" s="198"/>
      <c r="AQ165" s="198"/>
      <c r="AR165" s="15">
        <f t="shared" si="4"/>
        <v>29</v>
      </c>
    </row>
    <row r="166" spans="1:48" ht="18.75" customHeight="1">
      <c r="A166" s="198"/>
      <c r="B166" s="198"/>
      <c r="C166" s="198"/>
      <c r="D166" s="198"/>
      <c r="E166" s="198"/>
      <c r="F166" s="198"/>
      <c r="G166" s="198"/>
      <c r="H166" s="198"/>
      <c r="I166" s="198"/>
      <c r="J166" s="198"/>
      <c r="K166" s="198"/>
      <c r="L166" s="198"/>
      <c r="M166" s="198"/>
      <c r="N166" s="198"/>
      <c r="O166" s="198"/>
      <c r="P166" s="198"/>
      <c r="Q166" s="198"/>
      <c r="R166" s="198"/>
      <c r="S166" s="198"/>
      <c r="T166" s="198"/>
      <c r="U166" s="198"/>
      <c r="V166" s="198"/>
      <c r="W166" s="198"/>
      <c r="X166" s="198"/>
      <c r="Y166" s="198"/>
      <c r="Z166" s="198"/>
      <c r="AA166" s="198"/>
      <c r="AB166" s="198"/>
      <c r="AC166" s="198"/>
      <c r="AD166" s="198"/>
      <c r="AE166" s="198"/>
      <c r="AF166" s="198"/>
      <c r="AG166" s="198"/>
      <c r="AH166" s="198"/>
      <c r="AI166" s="198"/>
      <c r="AJ166" s="198"/>
      <c r="AK166" s="198"/>
      <c r="AL166" s="198"/>
      <c r="AM166" s="198"/>
      <c r="AN166" s="198"/>
      <c r="AO166" s="198"/>
      <c r="AP166" s="198"/>
      <c r="AQ166" s="198"/>
      <c r="AR166" s="15">
        <f t="shared" si="4"/>
        <v>30</v>
      </c>
    </row>
    <row r="167" spans="1:48" ht="18.75" customHeight="1">
      <c r="A167" s="198"/>
      <c r="B167" s="198"/>
      <c r="C167" s="198"/>
      <c r="D167" s="198"/>
      <c r="E167" s="198"/>
      <c r="F167" s="198"/>
      <c r="G167" s="198"/>
      <c r="H167" s="198"/>
      <c r="I167" s="198"/>
      <c r="J167" s="198"/>
      <c r="K167" s="198"/>
      <c r="L167" s="198"/>
      <c r="M167" s="198"/>
      <c r="N167" s="198"/>
      <c r="O167" s="198"/>
      <c r="P167" s="198"/>
      <c r="Q167" s="198"/>
      <c r="R167" s="198"/>
      <c r="S167" s="198"/>
      <c r="T167" s="198"/>
      <c r="U167" s="198"/>
      <c r="V167" s="198"/>
      <c r="W167" s="198"/>
      <c r="X167" s="198"/>
      <c r="Y167" s="198"/>
      <c r="Z167" s="198"/>
      <c r="AA167" s="198"/>
      <c r="AB167" s="198"/>
      <c r="AC167" s="198"/>
      <c r="AD167" s="198"/>
      <c r="AE167" s="198"/>
      <c r="AF167" s="198"/>
      <c r="AG167" s="198"/>
      <c r="AH167" s="198"/>
      <c r="AI167" s="198"/>
      <c r="AJ167" s="198"/>
      <c r="AK167" s="198"/>
      <c r="AL167" s="198"/>
      <c r="AM167" s="198"/>
      <c r="AN167" s="198"/>
      <c r="AO167" s="198"/>
      <c r="AP167" s="198"/>
      <c r="AQ167" s="198"/>
      <c r="AR167" s="15">
        <f t="shared" si="4"/>
        <v>31</v>
      </c>
    </row>
    <row r="168" spans="1:48" ht="18.75" customHeight="1">
      <c r="A168" s="198"/>
      <c r="B168" s="198"/>
      <c r="C168" s="198"/>
      <c r="D168" s="198"/>
      <c r="E168" s="198"/>
      <c r="F168" s="198"/>
      <c r="G168" s="198"/>
      <c r="H168" s="198"/>
      <c r="I168" s="198"/>
      <c r="J168" s="198"/>
      <c r="K168" s="198"/>
      <c r="L168" s="198"/>
      <c r="M168" s="198"/>
      <c r="N168" s="198"/>
      <c r="O168" s="198"/>
      <c r="P168" s="198"/>
      <c r="Q168" s="198"/>
      <c r="R168" s="198"/>
      <c r="S168" s="198"/>
      <c r="T168" s="198"/>
      <c r="U168" s="198"/>
      <c r="V168" s="198"/>
      <c r="W168" s="198"/>
      <c r="X168" s="198"/>
      <c r="Y168" s="198"/>
      <c r="Z168" s="198"/>
      <c r="AA168" s="198"/>
      <c r="AB168" s="198"/>
      <c r="AC168" s="198"/>
      <c r="AD168" s="198"/>
      <c r="AE168" s="198"/>
      <c r="AF168" s="198"/>
      <c r="AG168" s="198"/>
      <c r="AH168" s="198"/>
      <c r="AI168" s="198"/>
      <c r="AJ168" s="198"/>
      <c r="AK168" s="198"/>
      <c r="AL168" s="198"/>
      <c r="AM168" s="198"/>
      <c r="AN168" s="198"/>
      <c r="AO168" s="198"/>
      <c r="AP168" s="198"/>
      <c r="AQ168" s="198"/>
      <c r="AR168" s="15">
        <f t="shared" si="4"/>
        <v>32</v>
      </c>
    </row>
    <row r="169" spans="1:48" ht="18.75" customHeight="1">
      <c r="A169" s="198"/>
      <c r="B169" s="198"/>
      <c r="C169" s="198"/>
      <c r="D169" s="198"/>
      <c r="E169" s="198"/>
      <c r="F169" s="198"/>
      <c r="G169" s="198"/>
      <c r="H169" s="198"/>
      <c r="I169" s="198"/>
      <c r="J169" s="198"/>
      <c r="K169" s="198"/>
      <c r="L169" s="198"/>
      <c r="M169" s="198"/>
      <c r="N169" s="198"/>
      <c r="O169" s="198"/>
      <c r="P169" s="198"/>
      <c r="Q169" s="198"/>
      <c r="R169" s="198"/>
      <c r="S169" s="198"/>
      <c r="T169" s="198"/>
      <c r="U169" s="198"/>
      <c r="V169" s="198"/>
      <c r="W169" s="198"/>
      <c r="X169" s="198"/>
      <c r="Y169" s="198"/>
      <c r="Z169" s="198"/>
      <c r="AA169" s="198"/>
      <c r="AB169" s="198"/>
      <c r="AC169" s="198"/>
      <c r="AD169" s="198"/>
      <c r="AE169" s="198"/>
      <c r="AF169" s="198"/>
      <c r="AG169" s="198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15">
        <f t="shared" si="4"/>
        <v>33</v>
      </c>
    </row>
    <row r="170" spans="1:48" ht="18.75" customHeight="1">
      <c r="A170" s="198"/>
      <c r="B170" s="198"/>
      <c r="C170" s="198"/>
      <c r="D170" s="198"/>
      <c r="E170" s="198"/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  <c r="P170" s="198"/>
      <c r="Q170" s="198"/>
      <c r="R170" s="198"/>
      <c r="S170" s="198"/>
      <c r="T170" s="198"/>
      <c r="U170" s="198"/>
      <c r="V170" s="198"/>
      <c r="W170" s="198"/>
      <c r="X170" s="198"/>
      <c r="Y170" s="198"/>
      <c r="Z170" s="198"/>
      <c r="AA170" s="198"/>
      <c r="AB170" s="198"/>
      <c r="AC170" s="198"/>
      <c r="AD170" s="198"/>
      <c r="AE170" s="198"/>
      <c r="AF170" s="198"/>
      <c r="AG170" s="198"/>
      <c r="AH170" s="198"/>
      <c r="AI170" s="198"/>
      <c r="AJ170" s="198"/>
      <c r="AK170" s="198"/>
      <c r="AL170" s="198"/>
      <c r="AM170" s="198"/>
      <c r="AN170" s="198"/>
      <c r="AO170" s="198"/>
      <c r="AP170" s="198"/>
      <c r="AQ170" s="198"/>
      <c r="AR170" s="15">
        <f t="shared" si="4"/>
        <v>34</v>
      </c>
    </row>
    <row r="171" spans="1:48" ht="16.5" customHeight="1">
      <c r="A171" s="197"/>
      <c r="B171" s="197"/>
      <c r="AI171" s="200" t="str">
        <f>'1'!$AI$1</f>
        <v>R4健障障第100号</v>
      </c>
      <c r="AJ171" s="200"/>
      <c r="AK171" s="200"/>
      <c r="AL171" s="200"/>
      <c r="AM171" s="200"/>
      <c r="AN171" s="200"/>
      <c r="AO171" s="200"/>
      <c r="AP171" s="200"/>
      <c r="AQ171" s="200"/>
      <c r="AR171" s="15">
        <v>1</v>
      </c>
    </row>
    <row r="172" spans="1:48" ht="16.5" customHeight="1">
      <c r="A172" s="197"/>
      <c r="B172" s="197"/>
      <c r="AI172" s="201">
        <f>'1'!$AI$2</f>
        <v>44677</v>
      </c>
      <c r="AJ172" s="201"/>
      <c r="AK172" s="201"/>
      <c r="AL172" s="201"/>
      <c r="AM172" s="201"/>
      <c r="AN172" s="201"/>
      <c r="AO172" s="201"/>
      <c r="AP172" s="201"/>
      <c r="AQ172" s="201"/>
      <c r="AR172" s="15">
        <f>AR171+1</f>
        <v>2</v>
      </c>
    </row>
    <row r="173" spans="1:48" ht="18.75" customHeight="1">
      <c r="A173" s="198"/>
      <c r="B173" s="198"/>
      <c r="C173" s="198"/>
      <c r="D173" s="198"/>
      <c r="E173" s="198"/>
      <c r="F173" s="198"/>
      <c r="G173" s="198"/>
      <c r="H173" s="198"/>
      <c r="I173" s="198"/>
      <c r="J173" s="198"/>
      <c r="K173" s="198"/>
      <c r="L173" s="198"/>
      <c r="M173" s="198"/>
      <c r="N173" s="198"/>
      <c r="O173" s="198"/>
      <c r="P173" s="198"/>
      <c r="Q173" s="198"/>
      <c r="R173" s="198"/>
      <c r="S173" s="198"/>
      <c r="T173" s="198"/>
      <c r="U173" s="198"/>
      <c r="V173" s="198"/>
      <c r="W173" s="198"/>
      <c r="X173" s="198"/>
      <c r="Y173" s="198"/>
      <c r="Z173" s="198"/>
      <c r="AA173" s="198"/>
      <c r="AB173" s="198"/>
      <c r="AC173" s="198"/>
      <c r="AD173" s="198"/>
      <c r="AE173" s="198"/>
      <c r="AF173" s="198"/>
      <c r="AG173" s="198"/>
      <c r="AH173" s="198"/>
      <c r="AI173" s="198"/>
      <c r="AJ173" s="198"/>
      <c r="AK173" s="198"/>
      <c r="AL173" s="198"/>
      <c r="AM173" s="198"/>
      <c r="AN173" s="198"/>
      <c r="AO173" s="198"/>
      <c r="AP173" s="198"/>
      <c r="AQ173" s="198"/>
      <c r="AR173" s="15">
        <f t="shared" ref="AR173:AR204" si="5">AR172+1</f>
        <v>3</v>
      </c>
    </row>
    <row r="174" spans="1:48" ht="18.75" customHeight="1">
      <c r="A174" s="199" t="str">
        <f>INDEX(送付先一覧!A:O,MATCH(AV174,送付先一覧!A:A,0),4)</f>
        <v>社会福祉法人　つどいの家</v>
      </c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  <c r="W174" s="199"/>
      <c r="X174" s="199"/>
      <c r="Y174" s="199"/>
      <c r="Z174" s="199"/>
      <c r="AA174" s="199"/>
      <c r="AB174" s="199"/>
      <c r="AC174" s="199"/>
      <c r="AD174" s="199"/>
      <c r="AE174" s="199"/>
      <c r="AF174" s="199"/>
      <c r="AG174" s="199"/>
      <c r="AH174" s="199"/>
      <c r="AI174" s="199"/>
      <c r="AJ174" s="199"/>
      <c r="AK174" s="199"/>
      <c r="AL174" s="199"/>
      <c r="AM174" s="199"/>
      <c r="AN174" s="199"/>
      <c r="AO174" s="199"/>
      <c r="AP174" s="199"/>
      <c r="AQ174" s="199"/>
      <c r="AR174" s="15">
        <f t="shared" si="5"/>
        <v>4</v>
      </c>
      <c r="AV174" s="65">
        <f>AV140+1</f>
        <v>26</v>
      </c>
    </row>
    <row r="175" spans="1:48" ht="18.75" customHeight="1">
      <c r="A175" s="202" t="str">
        <f>INDEX(送付先一覧!A:O,MATCH(AV174,送付先一覧!A:A,0),5)</f>
        <v>理事長　佐藤　清</v>
      </c>
      <c r="B175" s="202"/>
      <c r="C175" s="202"/>
      <c r="D175" s="202"/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15">
        <f t="shared" si="5"/>
        <v>5</v>
      </c>
    </row>
    <row r="176" spans="1:48" ht="18.75" customHeight="1">
      <c r="A176" s="198"/>
      <c r="B176" s="198"/>
      <c r="C176" s="198"/>
      <c r="D176" s="198"/>
      <c r="E176" s="198"/>
      <c r="F176" s="198"/>
      <c r="G176" s="198"/>
      <c r="H176" s="198"/>
      <c r="I176" s="198"/>
      <c r="J176" s="198"/>
      <c r="K176" s="198"/>
      <c r="L176" s="198"/>
      <c r="M176" s="198"/>
      <c r="N176" s="198"/>
      <c r="O176" s="198"/>
      <c r="P176" s="198"/>
      <c r="Q176" s="198"/>
      <c r="R176" s="198"/>
      <c r="S176" s="198"/>
      <c r="T176" s="198"/>
      <c r="U176" s="198"/>
      <c r="V176" s="198"/>
      <c r="W176" s="198"/>
      <c r="X176" s="198"/>
      <c r="Y176" s="198"/>
      <c r="Z176" s="198"/>
      <c r="AA176" s="198"/>
      <c r="AB176" s="198"/>
      <c r="AC176" s="198"/>
      <c r="AD176" s="198"/>
      <c r="AE176" s="198"/>
      <c r="AF176" s="198"/>
      <c r="AG176" s="198"/>
      <c r="AH176" s="198"/>
      <c r="AI176" s="198"/>
      <c r="AJ176" s="198"/>
      <c r="AK176" s="198"/>
      <c r="AL176" s="198"/>
      <c r="AM176" s="198"/>
      <c r="AN176" s="198"/>
      <c r="AO176" s="198"/>
      <c r="AP176" s="198"/>
      <c r="AQ176" s="198"/>
      <c r="AR176" s="15">
        <f t="shared" si="5"/>
        <v>6</v>
      </c>
    </row>
    <row r="177" spans="1:44" ht="18.75" customHeight="1">
      <c r="V177" s="199" t="str">
        <f>'1'!$V$7</f>
        <v>仙台市健康福祉局障害福祉部障害企画課長　　</v>
      </c>
      <c r="W177" s="199"/>
      <c r="X177" s="199"/>
      <c r="Y177" s="199"/>
      <c r="Z177" s="199"/>
      <c r="AA177" s="199"/>
      <c r="AB177" s="199"/>
      <c r="AC177" s="199"/>
      <c r="AD177" s="199"/>
      <c r="AE177" s="199"/>
      <c r="AF177" s="199"/>
      <c r="AG177" s="199"/>
      <c r="AH177" s="199"/>
      <c r="AI177" s="199"/>
      <c r="AJ177" s="199"/>
      <c r="AK177" s="199"/>
      <c r="AL177" s="199"/>
      <c r="AM177" s="199"/>
      <c r="AN177" s="199"/>
      <c r="AO177" s="199"/>
      <c r="AP177" s="199"/>
      <c r="AQ177" s="199"/>
      <c r="AR177" s="15">
        <f t="shared" si="5"/>
        <v>7</v>
      </c>
    </row>
    <row r="178" spans="1:44" ht="18.75" customHeight="1">
      <c r="V178" s="199" t="str">
        <f>'1'!$V$8</f>
        <v>仙台市健康福祉局障害福祉部障害者支援課長　</v>
      </c>
      <c r="W178" s="199"/>
      <c r="X178" s="199"/>
      <c r="Y178" s="199"/>
      <c r="Z178" s="199"/>
      <c r="AA178" s="199"/>
      <c r="AB178" s="199"/>
      <c r="AC178" s="199"/>
      <c r="AD178" s="199"/>
      <c r="AE178" s="199"/>
      <c r="AF178" s="199"/>
      <c r="AG178" s="199"/>
      <c r="AH178" s="199"/>
      <c r="AI178" s="199"/>
      <c r="AJ178" s="199"/>
      <c r="AK178" s="199"/>
      <c r="AL178" s="199"/>
      <c r="AM178" s="199"/>
      <c r="AN178" s="199"/>
      <c r="AO178" s="199"/>
      <c r="AP178" s="199"/>
      <c r="AQ178" s="199"/>
      <c r="AR178" s="15">
        <f t="shared" si="5"/>
        <v>8</v>
      </c>
    </row>
    <row r="179" spans="1:44" ht="18.75" customHeight="1">
      <c r="A179" s="198"/>
      <c r="B179" s="198"/>
      <c r="C179" s="198"/>
      <c r="D179" s="198"/>
      <c r="E179" s="198"/>
      <c r="F179" s="198"/>
      <c r="G179" s="198"/>
      <c r="H179" s="198"/>
      <c r="I179" s="198"/>
      <c r="J179" s="198"/>
      <c r="K179" s="198"/>
      <c r="L179" s="198"/>
      <c r="M179" s="198"/>
      <c r="N179" s="198"/>
      <c r="O179" s="198"/>
      <c r="P179" s="198"/>
      <c r="Q179" s="198"/>
      <c r="R179" s="198"/>
      <c r="S179" s="198"/>
      <c r="T179" s="198"/>
      <c r="U179" s="198"/>
      <c r="V179" s="198"/>
      <c r="W179" s="198"/>
      <c r="X179" s="198"/>
      <c r="Y179" s="198"/>
      <c r="Z179" s="198"/>
      <c r="AA179" s="198"/>
      <c r="AB179" s="198"/>
      <c r="AC179" s="198"/>
      <c r="AD179" s="198"/>
      <c r="AE179" s="198"/>
      <c r="AF179" s="198"/>
      <c r="AG179" s="198"/>
      <c r="AH179" s="198"/>
      <c r="AI179" s="198"/>
      <c r="AJ179" s="198"/>
      <c r="AK179" s="198"/>
      <c r="AL179" s="198"/>
      <c r="AM179" s="198"/>
      <c r="AN179" s="198"/>
      <c r="AO179" s="198"/>
      <c r="AP179" s="198"/>
      <c r="AQ179" s="198"/>
      <c r="AR179" s="15">
        <f t="shared" si="5"/>
        <v>9</v>
      </c>
    </row>
    <row r="180" spans="1:44" ht="22.5" customHeight="1">
      <c r="A180" s="203" t="str">
        <f>'1'!$A$10</f>
        <v>令和４年度仙台市障害福祉分野のICT導入モデル事業補助金の内示について</v>
      </c>
      <c r="B180" s="203"/>
      <c r="C180" s="203"/>
      <c r="D180" s="203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15">
        <f t="shared" si="5"/>
        <v>10</v>
      </c>
    </row>
    <row r="181" spans="1:44" ht="18.75" customHeight="1">
      <c r="A181" s="198"/>
      <c r="B181" s="198"/>
      <c r="C181" s="198"/>
      <c r="D181" s="198"/>
      <c r="E181" s="198"/>
      <c r="F181" s="198"/>
      <c r="G181" s="198"/>
      <c r="H181" s="198"/>
      <c r="I181" s="198"/>
      <c r="J181" s="198"/>
      <c r="K181" s="198"/>
      <c r="L181" s="198"/>
      <c r="M181" s="198"/>
      <c r="N181" s="198"/>
      <c r="O181" s="198"/>
      <c r="P181" s="198"/>
      <c r="Q181" s="198"/>
      <c r="R181" s="198"/>
      <c r="S181" s="198"/>
      <c r="T181" s="198"/>
      <c r="U181" s="198"/>
      <c r="V181" s="198"/>
      <c r="W181" s="198"/>
      <c r="X181" s="198"/>
      <c r="Y181" s="198"/>
      <c r="Z181" s="198"/>
      <c r="AA181" s="198"/>
      <c r="AB181" s="198"/>
      <c r="AC181" s="198"/>
      <c r="AD181" s="198"/>
      <c r="AE181" s="198"/>
      <c r="AF181" s="198"/>
      <c r="AG181" s="198"/>
      <c r="AH181" s="198"/>
      <c r="AI181" s="198"/>
      <c r="AJ181" s="198"/>
      <c r="AK181" s="198"/>
      <c r="AL181" s="198"/>
      <c r="AM181" s="198"/>
      <c r="AN181" s="198"/>
      <c r="AO181" s="198"/>
      <c r="AP181" s="198"/>
      <c r="AQ181" s="198"/>
      <c r="AR181" s="15">
        <f t="shared" si="5"/>
        <v>11</v>
      </c>
    </row>
    <row r="182" spans="1:44" ht="93.75" customHeight="1">
      <c r="A182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82" s="205"/>
      <c r="C182" s="205"/>
      <c r="D182" s="205"/>
      <c r="E182" s="205"/>
      <c r="F182" s="205"/>
      <c r="G182" s="205"/>
      <c r="H182" s="205"/>
      <c r="I182" s="205"/>
      <c r="J182" s="205"/>
      <c r="K182" s="205"/>
      <c r="L182" s="205"/>
      <c r="M182" s="205"/>
      <c r="N182" s="205"/>
      <c r="O182" s="205"/>
      <c r="P182" s="205"/>
      <c r="Q182" s="205"/>
      <c r="R182" s="205"/>
      <c r="S182" s="205"/>
      <c r="T182" s="205"/>
      <c r="U182" s="205"/>
      <c r="V182" s="205"/>
      <c r="W182" s="205"/>
      <c r="X182" s="205"/>
      <c r="Y182" s="205"/>
      <c r="Z182" s="205"/>
      <c r="AA182" s="205"/>
      <c r="AB182" s="205"/>
      <c r="AC182" s="205"/>
      <c r="AD182" s="205"/>
      <c r="AE182" s="205"/>
      <c r="AF182" s="205"/>
      <c r="AG182" s="205"/>
      <c r="AH182" s="205"/>
      <c r="AI182" s="205"/>
      <c r="AJ182" s="205"/>
      <c r="AK182" s="205"/>
      <c r="AL182" s="205"/>
      <c r="AM182" s="205"/>
      <c r="AN182" s="205"/>
      <c r="AO182" s="205"/>
      <c r="AP182" s="205"/>
      <c r="AQ182" s="205"/>
      <c r="AR182" s="15">
        <f t="shared" si="5"/>
        <v>12</v>
      </c>
    </row>
    <row r="183" spans="1:44" ht="18.75" customHeight="1">
      <c r="A183" s="198"/>
      <c r="B183" s="198"/>
      <c r="C183" s="198"/>
      <c r="D183" s="198"/>
      <c r="E183" s="198"/>
      <c r="F183" s="198"/>
      <c r="G183" s="198"/>
      <c r="H183" s="198"/>
      <c r="I183" s="198"/>
      <c r="J183" s="198"/>
      <c r="K183" s="198"/>
      <c r="L183" s="198"/>
      <c r="M183" s="198"/>
      <c r="N183" s="198"/>
      <c r="O183" s="198"/>
      <c r="P183" s="198"/>
      <c r="Q183" s="198"/>
      <c r="R183" s="198"/>
      <c r="S183" s="198"/>
      <c r="T183" s="198"/>
      <c r="U183" s="198"/>
      <c r="V183" s="198"/>
      <c r="W183" s="198"/>
      <c r="X183" s="198"/>
      <c r="Y183" s="198"/>
      <c r="Z183" s="198"/>
      <c r="AA183" s="198"/>
      <c r="AB183" s="198"/>
      <c r="AC183" s="198"/>
      <c r="AD183" s="198"/>
      <c r="AE183" s="198"/>
      <c r="AF183" s="198"/>
      <c r="AG183" s="198"/>
      <c r="AH183" s="198"/>
      <c r="AI183" s="198"/>
      <c r="AJ183" s="198"/>
      <c r="AK183" s="198"/>
      <c r="AL183" s="198"/>
      <c r="AM183" s="198"/>
      <c r="AN183" s="198"/>
      <c r="AO183" s="198"/>
      <c r="AP183" s="198"/>
      <c r="AQ183" s="198"/>
      <c r="AR183" s="15">
        <f t="shared" si="5"/>
        <v>13</v>
      </c>
    </row>
    <row r="184" spans="1:44" ht="18.75" customHeight="1">
      <c r="A184" s="197" t="str">
        <f>'1'!$A$14</f>
        <v>記</v>
      </c>
      <c r="B184" s="197"/>
      <c r="C184" s="197"/>
      <c r="D184" s="197"/>
      <c r="E184" s="197"/>
      <c r="F184" s="197"/>
      <c r="G184" s="197"/>
      <c r="H184" s="197"/>
      <c r="I184" s="197"/>
      <c r="J184" s="197"/>
      <c r="K184" s="197"/>
      <c r="L184" s="197"/>
      <c r="M184" s="197"/>
      <c r="N184" s="197"/>
      <c r="O184" s="197"/>
      <c r="P184" s="197"/>
      <c r="Q184" s="197"/>
      <c r="R184" s="197"/>
      <c r="S184" s="197"/>
      <c r="T184" s="197"/>
      <c r="U184" s="197"/>
      <c r="V184" s="197"/>
      <c r="W184" s="197"/>
      <c r="X184" s="197"/>
      <c r="Y184" s="197"/>
      <c r="Z184" s="197"/>
      <c r="AA184" s="197"/>
      <c r="AB184" s="197"/>
      <c r="AC184" s="197"/>
      <c r="AD184" s="197"/>
      <c r="AE184" s="197"/>
      <c r="AF184" s="197"/>
      <c r="AG184" s="197"/>
      <c r="AH184" s="197"/>
      <c r="AI184" s="197"/>
      <c r="AJ184" s="197"/>
      <c r="AK184" s="197"/>
      <c r="AL184" s="197"/>
      <c r="AM184" s="197"/>
      <c r="AN184" s="197"/>
      <c r="AO184" s="197"/>
      <c r="AP184" s="197"/>
      <c r="AQ184" s="197"/>
      <c r="AR184" s="15">
        <f t="shared" si="5"/>
        <v>14</v>
      </c>
    </row>
    <row r="185" spans="1:44" ht="18.75" customHeight="1">
      <c r="A185" s="198"/>
      <c r="B185" s="198"/>
      <c r="C185" s="198"/>
      <c r="D185" s="198"/>
      <c r="E185" s="198"/>
      <c r="F185" s="198"/>
      <c r="G185" s="198"/>
      <c r="H185" s="198"/>
      <c r="I185" s="198"/>
      <c r="J185" s="198"/>
      <c r="K185" s="198"/>
      <c r="L185" s="198"/>
      <c r="M185" s="198"/>
      <c r="N185" s="198"/>
      <c r="O185" s="198"/>
      <c r="P185" s="198"/>
      <c r="Q185" s="198"/>
      <c r="R185" s="198"/>
      <c r="S185" s="198"/>
      <c r="T185" s="198"/>
      <c r="U185" s="198"/>
      <c r="V185" s="198"/>
      <c r="W185" s="198"/>
      <c r="X185" s="198"/>
      <c r="Y185" s="198"/>
      <c r="Z185" s="198"/>
      <c r="AA185" s="198"/>
      <c r="AB185" s="198"/>
      <c r="AC185" s="198"/>
      <c r="AD185" s="198"/>
      <c r="AE185" s="198"/>
      <c r="AF185" s="198"/>
      <c r="AG185" s="198"/>
      <c r="AH185" s="198"/>
      <c r="AI185" s="198"/>
      <c r="AJ185" s="198"/>
      <c r="AK185" s="198"/>
      <c r="AL185" s="198"/>
      <c r="AM185" s="198"/>
      <c r="AN185" s="198"/>
      <c r="AO185" s="198"/>
      <c r="AP185" s="198"/>
      <c r="AQ185" s="198"/>
      <c r="AR185" s="15">
        <f t="shared" si="5"/>
        <v>15</v>
      </c>
    </row>
    <row r="186" spans="1:44" ht="18.75" customHeight="1">
      <c r="I186" s="199" t="str">
        <f>'1'!$I$16</f>
        <v>補助内示額</v>
      </c>
      <c r="J186" s="199"/>
      <c r="K186" s="199"/>
      <c r="L186" s="199"/>
      <c r="M186" s="199"/>
      <c r="N186" s="199"/>
      <c r="S186" s="206">
        <f>INDEX(送付先一覧!A:O,MATCH(AV174,送付先一覧!A:A,0),12)</f>
        <v>666000</v>
      </c>
      <c r="T186" s="206"/>
      <c r="U186" s="206"/>
      <c r="V186" s="206"/>
      <c r="W186" s="206"/>
      <c r="X186" s="206"/>
      <c r="Y186" s="206"/>
      <c r="Z186" s="206"/>
      <c r="AA186" s="206"/>
      <c r="AB186" s="206"/>
      <c r="AC186" s="206"/>
      <c r="AD186" s="206"/>
      <c r="AE186" s="206"/>
      <c r="AF186" s="199"/>
      <c r="AG186" s="199"/>
      <c r="AH186" s="199"/>
      <c r="AI186" s="199"/>
      <c r="AR186" s="15">
        <f t="shared" si="5"/>
        <v>16</v>
      </c>
    </row>
    <row r="187" spans="1:44" ht="18.75" customHeight="1">
      <c r="I187" s="199" t="str">
        <f>'1'!$I$17</f>
        <v>事業種別</v>
      </c>
      <c r="J187" s="199"/>
      <c r="K187" s="199"/>
      <c r="L187" s="199"/>
      <c r="M187" s="199"/>
      <c r="N187" s="199"/>
      <c r="O187" s="199"/>
      <c r="P187" s="199"/>
      <c r="Q187" s="199"/>
      <c r="R187" s="199"/>
      <c r="S187" s="199" t="str">
        <f>INDEX(送付先一覧!A:O,MATCH(AV174,送付先一覧!A:A,0),9)</f>
        <v>生活介護</v>
      </c>
      <c r="T187" s="199"/>
      <c r="U187" s="199"/>
      <c r="V187" s="199"/>
      <c r="W187" s="199"/>
      <c r="X187" s="199"/>
      <c r="Y187" s="199"/>
      <c r="Z187" s="199"/>
      <c r="AA187" s="199"/>
      <c r="AB187" s="199"/>
      <c r="AC187" s="199"/>
      <c r="AD187" s="199"/>
      <c r="AE187" s="199"/>
      <c r="AF187" s="199"/>
      <c r="AG187" s="199"/>
      <c r="AH187" s="199"/>
      <c r="AI187" s="199"/>
      <c r="AJ187" s="199"/>
      <c r="AK187" s="199"/>
      <c r="AL187" s="199"/>
      <c r="AM187" s="199"/>
      <c r="AN187" s="199"/>
      <c r="AO187" s="199"/>
      <c r="AP187" s="199"/>
      <c r="AR187" s="15">
        <f t="shared" si="5"/>
        <v>17</v>
      </c>
    </row>
    <row r="188" spans="1:44" ht="18.75" customHeight="1">
      <c r="I188" s="199" t="str">
        <f>'1'!$I$18</f>
        <v>事業所名</v>
      </c>
      <c r="J188" s="199"/>
      <c r="K188" s="199"/>
      <c r="L188" s="199"/>
      <c r="M188" s="199"/>
      <c r="N188" s="199"/>
      <c r="O188" s="199"/>
      <c r="P188" s="199"/>
      <c r="Q188" s="199"/>
      <c r="R188" s="199"/>
      <c r="S188" s="204" t="str">
        <f>INDEX(送付先一覧!A:O,MATCH(AV174,送付先一覧!A:A,0),8)</f>
        <v>八木山つどいの家</v>
      </c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15">
        <f t="shared" si="5"/>
        <v>18</v>
      </c>
    </row>
    <row r="189" spans="1:44" ht="18.75" customHeight="1">
      <c r="I189" s="198"/>
      <c r="J189" s="198"/>
      <c r="K189" s="198"/>
      <c r="L189" s="198"/>
      <c r="M189" s="198"/>
      <c r="N189" s="198"/>
      <c r="O189" s="198"/>
      <c r="P189" s="198"/>
      <c r="Q189" s="198"/>
      <c r="R189" s="198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  <c r="AI189" s="66"/>
      <c r="AJ189" s="66"/>
      <c r="AK189" s="66"/>
      <c r="AL189" s="66"/>
      <c r="AM189" s="66"/>
      <c r="AN189" s="66"/>
      <c r="AO189" s="66"/>
      <c r="AP189" s="66"/>
      <c r="AQ189" s="66"/>
      <c r="AR189" s="15">
        <f t="shared" si="5"/>
        <v>19</v>
      </c>
    </row>
    <row r="190" spans="1:44" ht="18.75" customHeight="1">
      <c r="I190" s="198"/>
      <c r="J190" s="198"/>
      <c r="K190" s="198"/>
      <c r="L190" s="198"/>
      <c r="M190" s="198"/>
      <c r="N190" s="198"/>
      <c r="O190" s="198"/>
      <c r="P190" s="198"/>
      <c r="Q190" s="198"/>
      <c r="R190" s="198"/>
      <c r="S190" s="198"/>
      <c r="T190" s="198"/>
      <c r="U190" s="198"/>
      <c r="V190" s="198"/>
      <c r="W190" s="198"/>
      <c r="X190" s="198"/>
      <c r="Y190" s="198"/>
      <c r="Z190" s="198"/>
      <c r="AA190" s="198"/>
      <c r="AB190" s="198"/>
      <c r="AC190" s="198"/>
      <c r="AD190" s="198"/>
      <c r="AE190" s="198"/>
      <c r="AF190" s="198"/>
      <c r="AG190" s="198"/>
      <c r="AH190" s="198"/>
      <c r="AI190" s="198"/>
      <c r="AR190" s="15">
        <f t="shared" si="5"/>
        <v>20</v>
      </c>
    </row>
    <row r="191" spans="1:44" ht="18.75" customHeight="1">
      <c r="A191" s="198"/>
      <c r="B191" s="198"/>
      <c r="C191" s="198"/>
      <c r="D191" s="198"/>
      <c r="E191" s="198"/>
      <c r="F191" s="198"/>
      <c r="G191" s="198"/>
      <c r="H191" s="198"/>
      <c r="I191" s="198"/>
      <c r="J191" s="198"/>
      <c r="K191" s="198"/>
      <c r="L191" s="198"/>
      <c r="M191" s="198"/>
      <c r="N191" s="198"/>
      <c r="O191" s="198"/>
      <c r="P191" s="198"/>
      <c r="Q191" s="198"/>
      <c r="R191" s="198"/>
      <c r="S191" s="198"/>
      <c r="T191" s="198"/>
      <c r="U191" s="198"/>
      <c r="V191" s="198"/>
      <c r="W191" s="198"/>
      <c r="X191" s="198"/>
      <c r="Y191" s="198"/>
      <c r="Z191" s="198"/>
      <c r="AA191" s="198"/>
      <c r="AB191" s="198"/>
      <c r="AC191" s="198"/>
      <c r="AD191" s="198"/>
      <c r="AE191" s="198"/>
      <c r="AF191" s="198"/>
      <c r="AG191" s="198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5">
        <f t="shared" si="5"/>
        <v>21</v>
      </c>
    </row>
    <row r="192" spans="1:44" ht="18.75" customHeight="1">
      <c r="A192" s="198"/>
      <c r="B192" s="198"/>
      <c r="C192" s="198"/>
      <c r="D192" s="198"/>
      <c r="E192" s="198"/>
      <c r="F192" s="198"/>
      <c r="G192" s="198"/>
      <c r="H192" s="198"/>
      <c r="I192" s="198"/>
      <c r="J192" s="198"/>
      <c r="K192" s="198"/>
      <c r="L192" s="198"/>
      <c r="M192" s="198"/>
      <c r="N192" s="198"/>
      <c r="O192" s="198"/>
      <c r="P192" s="198"/>
      <c r="Q192" s="198"/>
      <c r="R192" s="198"/>
      <c r="S192" s="198"/>
      <c r="T192" s="198"/>
      <c r="U192" s="198"/>
      <c r="V192" s="198"/>
      <c r="W192" s="198"/>
      <c r="X192" s="198"/>
      <c r="Y192" s="198"/>
      <c r="Z192" s="198"/>
      <c r="AA192" s="198"/>
      <c r="AB192" s="198"/>
      <c r="AC192" s="198"/>
      <c r="AD192" s="198"/>
      <c r="AE192" s="198"/>
      <c r="AF192" s="198"/>
      <c r="AG192" s="198"/>
      <c r="AH192" s="198"/>
      <c r="AI192" s="198"/>
      <c r="AJ192" s="198"/>
      <c r="AK192" s="198"/>
      <c r="AL192" s="198"/>
      <c r="AM192" s="198"/>
      <c r="AN192" s="198"/>
      <c r="AO192" s="198"/>
      <c r="AP192" s="198"/>
      <c r="AQ192" s="198"/>
      <c r="AR192" s="15">
        <f t="shared" si="5"/>
        <v>22</v>
      </c>
    </row>
    <row r="193" spans="1:48" ht="18.75" customHeight="1">
      <c r="A193" s="198"/>
      <c r="B193" s="198"/>
      <c r="C193" s="198"/>
      <c r="D193" s="198"/>
      <c r="E193" s="198"/>
      <c r="F193" s="198"/>
      <c r="G193" s="198"/>
      <c r="H193" s="198"/>
      <c r="I193" s="198"/>
      <c r="J193" s="198"/>
      <c r="K193" s="198"/>
      <c r="L193" s="198"/>
      <c r="M193" s="198"/>
      <c r="N193" s="198"/>
      <c r="O193" s="198"/>
      <c r="P193" s="198"/>
      <c r="Q193" s="198"/>
      <c r="R193" s="198"/>
      <c r="S193" s="198"/>
      <c r="T193" s="198"/>
      <c r="U193" s="198"/>
      <c r="V193" s="198"/>
      <c r="W193" s="198"/>
      <c r="X193" s="198"/>
      <c r="Y193" s="198"/>
      <c r="Z193" s="198"/>
      <c r="AA193" s="198"/>
      <c r="AB193" s="198"/>
      <c r="AC193" s="198"/>
      <c r="AD193" s="198"/>
      <c r="AE193" s="198"/>
      <c r="AF193" s="198"/>
      <c r="AG193" s="198"/>
      <c r="AH193" s="198"/>
      <c r="AI193" s="198"/>
      <c r="AJ193" s="198"/>
      <c r="AK193" s="198"/>
      <c r="AL193" s="198"/>
      <c r="AM193" s="198"/>
      <c r="AN193" s="198"/>
      <c r="AO193" s="198"/>
      <c r="AP193" s="198"/>
      <c r="AQ193" s="198"/>
      <c r="AR193" s="15">
        <f t="shared" si="5"/>
        <v>23</v>
      </c>
    </row>
    <row r="194" spans="1:48" ht="18.75" customHeight="1">
      <c r="A194" s="198"/>
      <c r="B194" s="198"/>
      <c r="C194" s="198"/>
      <c r="D194" s="198"/>
      <c r="E194" s="198"/>
      <c r="F194" s="198"/>
      <c r="G194" s="198"/>
      <c r="H194" s="198"/>
      <c r="I194" s="198"/>
      <c r="J194" s="198"/>
      <c r="K194" s="198"/>
      <c r="L194" s="198"/>
      <c r="M194" s="198"/>
      <c r="N194" s="198"/>
      <c r="O194" s="198"/>
      <c r="P194" s="198"/>
      <c r="Q194" s="198"/>
      <c r="R194" s="198"/>
      <c r="S194" s="198"/>
      <c r="T194" s="198"/>
      <c r="U194" s="198"/>
      <c r="V194" s="198"/>
      <c r="W194" s="198"/>
      <c r="X194" s="198"/>
      <c r="Y194" s="198"/>
      <c r="Z194" s="198"/>
      <c r="AA194" s="198"/>
      <c r="AB194" s="198"/>
      <c r="AC194" s="198"/>
      <c r="AD194" s="198"/>
      <c r="AE194" s="198"/>
      <c r="AF194" s="198"/>
      <c r="AG194" s="198"/>
      <c r="AH194" s="198"/>
      <c r="AI194" s="198"/>
      <c r="AJ194" s="198"/>
      <c r="AK194" s="198"/>
      <c r="AL194" s="198"/>
      <c r="AM194" s="198"/>
      <c r="AN194" s="198"/>
      <c r="AO194" s="198"/>
      <c r="AP194" s="198"/>
      <c r="AQ194" s="198"/>
      <c r="AR194" s="15">
        <f t="shared" si="5"/>
        <v>24</v>
      </c>
    </row>
    <row r="195" spans="1:48" ht="18.75" customHeight="1">
      <c r="A195" s="198"/>
      <c r="B195" s="198"/>
      <c r="C195" s="198"/>
      <c r="D195" s="198"/>
      <c r="E195" s="198"/>
      <c r="F195" s="198"/>
      <c r="G195" s="198"/>
      <c r="H195" s="198"/>
      <c r="I195" s="198"/>
      <c r="J195" s="198"/>
      <c r="K195" s="198"/>
      <c r="L195" s="198"/>
      <c r="M195" s="198"/>
      <c r="N195" s="198"/>
      <c r="O195" s="198"/>
      <c r="P195" s="198"/>
      <c r="Q195" s="198"/>
      <c r="R195" s="198"/>
      <c r="S195" s="198"/>
      <c r="T195" s="198"/>
      <c r="U195" s="198"/>
      <c r="V195" s="198"/>
      <c r="W195" s="198"/>
      <c r="X195" s="198"/>
      <c r="Y195" s="198"/>
      <c r="Z195" s="198"/>
      <c r="AA195" s="198"/>
      <c r="AB195" s="198"/>
      <c r="AC195" s="198"/>
      <c r="AD195" s="198"/>
      <c r="AE195" s="198"/>
      <c r="AF195" s="198"/>
      <c r="AG195" s="198"/>
      <c r="AH195" s="198"/>
      <c r="AI195" s="198"/>
      <c r="AJ195" s="198"/>
      <c r="AK195" s="198"/>
      <c r="AL195" s="198"/>
      <c r="AM195" s="198"/>
      <c r="AN195" s="198"/>
      <c r="AO195" s="198"/>
      <c r="AP195" s="198"/>
      <c r="AQ195" s="198"/>
      <c r="AR195" s="15">
        <f t="shared" si="5"/>
        <v>25</v>
      </c>
    </row>
    <row r="196" spans="1:48" ht="18.75" customHeight="1">
      <c r="A196" s="198"/>
      <c r="B196" s="198"/>
      <c r="C196" s="198"/>
      <c r="D196" s="198"/>
      <c r="E196" s="198"/>
      <c r="F196" s="198"/>
      <c r="G196" s="198"/>
      <c r="H196" s="198"/>
      <c r="I196" s="198"/>
      <c r="J196" s="198"/>
      <c r="K196" s="198"/>
      <c r="L196" s="198"/>
      <c r="M196" s="198"/>
      <c r="N196" s="198"/>
      <c r="O196" s="198"/>
      <c r="P196" s="198"/>
      <c r="Q196" s="198"/>
      <c r="R196" s="198"/>
      <c r="S196" s="198"/>
      <c r="T196" s="198"/>
      <c r="U196" s="198"/>
      <c r="V196" s="198"/>
      <c r="W196" s="198"/>
      <c r="X196" s="198"/>
      <c r="Y196" s="198"/>
      <c r="Z196" s="198"/>
      <c r="AA196" s="198"/>
      <c r="AB196" s="198"/>
      <c r="AC196" s="198"/>
      <c r="AD196" s="198"/>
      <c r="AE196" s="198"/>
      <c r="AF196" s="198"/>
      <c r="AG196" s="198"/>
      <c r="AH196" s="198"/>
      <c r="AI196" s="198"/>
      <c r="AJ196" s="198"/>
      <c r="AK196" s="198"/>
      <c r="AL196" s="198"/>
      <c r="AM196" s="198"/>
      <c r="AN196" s="198"/>
      <c r="AO196" s="198"/>
      <c r="AP196" s="198"/>
      <c r="AQ196" s="198"/>
      <c r="AR196" s="15">
        <f t="shared" si="5"/>
        <v>26</v>
      </c>
    </row>
    <row r="197" spans="1:48" ht="18.75" customHeight="1">
      <c r="A197" s="198"/>
      <c r="B197" s="198"/>
      <c r="C197" s="198"/>
      <c r="D197" s="198"/>
      <c r="E197" s="198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  <c r="P197" s="198"/>
      <c r="Q197" s="198"/>
      <c r="R197" s="198"/>
      <c r="S197" s="198"/>
      <c r="T197" s="198"/>
      <c r="U197" s="198"/>
      <c r="V197" s="198"/>
      <c r="W197" s="198"/>
      <c r="X197" s="198"/>
      <c r="Y197" s="198"/>
      <c r="Z197" s="198"/>
      <c r="AA197" s="198"/>
      <c r="AB197" s="198"/>
      <c r="AC197" s="198"/>
      <c r="AD197" s="198"/>
      <c r="AE197" s="198"/>
      <c r="AF197" s="198"/>
      <c r="AG197" s="198"/>
      <c r="AH197" s="198"/>
      <c r="AI197" s="198"/>
      <c r="AJ197" s="198"/>
      <c r="AK197" s="198"/>
      <c r="AL197" s="198"/>
      <c r="AM197" s="198"/>
      <c r="AN197" s="198"/>
      <c r="AO197" s="198"/>
      <c r="AP197" s="198"/>
      <c r="AQ197" s="198"/>
      <c r="AR197" s="15">
        <f t="shared" si="5"/>
        <v>27</v>
      </c>
    </row>
    <row r="198" spans="1:48" ht="18.75" customHeight="1">
      <c r="A198" s="198"/>
      <c r="B198" s="198"/>
      <c r="C198" s="198"/>
      <c r="D198" s="198"/>
      <c r="E198" s="198"/>
      <c r="F198" s="198"/>
      <c r="G198" s="198"/>
      <c r="H198" s="198"/>
      <c r="I198" s="198"/>
      <c r="J198" s="198"/>
      <c r="K198" s="198"/>
      <c r="L198" s="198"/>
      <c r="M198" s="198"/>
      <c r="N198" s="198"/>
      <c r="O198" s="198"/>
      <c r="P198" s="198"/>
      <c r="Q198" s="198"/>
      <c r="R198" s="198"/>
      <c r="S198" s="198"/>
      <c r="T198" s="198"/>
      <c r="U198" s="198"/>
      <c r="V198" s="198"/>
      <c r="W198" s="198"/>
      <c r="X198" s="198"/>
      <c r="Y198" s="198"/>
      <c r="Z198" s="198"/>
      <c r="AA198" s="198"/>
      <c r="AB198" s="198"/>
      <c r="AC198" s="198"/>
      <c r="AD198" s="198"/>
      <c r="AE198" s="198"/>
      <c r="AF198" s="198"/>
      <c r="AG198" s="198"/>
      <c r="AH198" s="198"/>
      <c r="AI198" s="198"/>
      <c r="AJ198" s="198"/>
      <c r="AK198" s="198"/>
      <c r="AL198" s="198"/>
      <c r="AM198" s="198"/>
      <c r="AN198" s="198"/>
      <c r="AO198" s="198"/>
      <c r="AP198" s="198"/>
      <c r="AQ198" s="198"/>
      <c r="AR198" s="15">
        <f t="shared" si="5"/>
        <v>28</v>
      </c>
    </row>
    <row r="199" spans="1:48" ht="18.75" customHeight="1">
      <c r="A199" s="198"/>
      <c r="B199" s="198"/>
      <c r="C199" s="198"/>
      <c r="D199" s="198"/>
      <c r="E199" s="198"/>
      <c r="F199" s="198"/>
      <c r="G199" s="198"/>
      <c r="H199" s="198"/>
      <c r="I199" s="198"/>
      <c r="J199" s="198"/>
      <c r="K199" s="198"/>
      <c r="L199" s="198"/>
      <c r="M199" s="198"/>
      <c r="N199" s="198"/>
      <c r="O199" s="198"/>
      <c r="P199" s="198"/>
      <c r="Q199" s="198"/>
      <c r="R199" s="198"/>
      <c r="S199" s="198"/>
      <c r="T199" s="198"/>
      <c r="U199" s="198"/>
      <c r="V199" s="198"/>
      <c r="W199" s="198"/>
      <c r="X199" s="198"/>
      <c r="Y199" s="198"/>
      <c r="Z199" s="198"/>
      <c r="AA199" s="198"/>
      <c r="AB199" s="198"/>
      <c r="AC199" s="198"/>
      <c r="AD199" s="198"/>
      <c r="AE199" s="198"/>
      <c r="AF199" s="198"/>
      <c r="AG199" s="198"/>
      <c r="AH199" s="198"/>
      <c r="AI199" s="198"/>
      <c r="AJ199" s="198"/>
      <c r="AK199" s="198"/>
      <c r="AL199" s="198"/>
      <c r="AM199" s="198"/>
      <c r="AN199" s="198"/>
      <c r="AO199" s="198"/>
      <c r="AP199" s="198"/>
      <c r="AQ199" s="198"/>
      <c r="AR199" s="15">
        <f t="shared" si="5"/>
        <v>29</v>
      </c>
    </row>
    <row r="200" spans="1:48" ht="18.75" customHeight="1">
      <c r="A200" s="198"/>
      <c r="B200" s="198"/>
      <c r="C200" s="198"/>
      <c r="D200" s="198"/>
      <c r="E200" s="198"/>
      <c r="F200" s="198"/>
      <c r="G200" s="198"/>
      <c r="H200" s="198"/>
      <c r="I200" s="198"/>
      <c r="J200" s="198"/>
      <c r="K200" s="198"/>
      <c r="L200" s="198"/>
      <c r="M200" s="198"/>
      <c r="N200" s="198"/>
      <c r="O200" s="198"/>
      <c r="P200" s="198"/>
      <c r="Q200" s="198"/>
      <c r="R200" s="198"/>
      <c r="S200" s="198"/>
      <c r="T200" s="198"/>
      <c r="U200" s="198"/>
      <c r="V200" s="198"/>
      <c r="W200" s="198"/>
      <c r="X200" s="198"/>
      <c r="Y200" s="198"/>
      <c r="Z200" s="198"/>
      <c r="AA200" s="198"/>
      <c r="AB200" s="198"/>
      <c r="AC200" s="198"/>
      <c r="AD200" s="198"/>
      <c r="AE200" s="198"/>
      <c r="AF200" s="198"/>
      <c r="AG200" s="198"/>
      <c r="AH200" s="198"/>
      <c r="AI200" s="198"/>
      <c r="AJ200" s="198"/>
      <c r="AK200" s="198"/>
      <c r="AL200" s="198"/>
      <c r="AM200" s="198"/>
      <c r="AN200" s="198"/>
      <c r="AO200" s="198"/>
      <c r="AP200" s="198"/>
      <c r="AQ200" s="198"/>
      <c r="AR200" s="15">
        <f t="shared" si="5"/>
        <v>30</v>
      </c>
    </row>
    <row r="201" spans="1:48" ht="18.75" customHeight="1">
      <c r="A201" s="198"/>
      <c r="B201" s="198"/>
      <c r="C201" s="198"/>
      <c r="D201" s="198"/>
      <c r="E201" s="198"/>
      <c r="F201" s="198"/>
      <c r="G201" s="198"/>
      <c r="H201" s="198"/>
      <c r="I201" s="198"/>
      <c r="J201" s="198"/>
      <c r="K201" s="198"/>
      <c r="L201" s="198"/>
      <c r="M201" s="198"/>
      <c r="N201" s="198"/>
      <c r="O201" s="198"/>
      <c r="P201" s="198"/>
      <c r="Q201" s="198"/>
      <c r="R201" s="198"/>
      <c r="S201" s="198"/>
      <c r="T201" s="198"/>
      <c r="U201" s="198"/>
      <c r="V201" s="198"/>
      <c r="W201" s="198"/>
      <c r="X201" s="198"/>
      <c r="Y201" s="198"/>
      <c r="Z201" s="198"/>
      <c r="AA201" s="198"/>
      <c r="AB201" s="198"/>
      <c r="AC201" s="198"/>
      <c r="AD201" s="198"/>
      <c r="AE201" s="198"/>
      <c r="AF201" s="198"/>
      <c r="AG201" s="198"/>
      <c r="AH201" s="198"/>
      <c r="AI201" s="198"/>
      <c r="AJ201" s="198"/>
      <c r="AK201" s="198"/>
      <c r="AL201" s="198"/>
      <c r="AM201" s="198"/>
      <c r="AN201" s="198"/>
      <c r="AO201" s="198"/>
      <c r="AP201" s="198"/>
      <c r="AQ201" s="198"/>
      <c r="AR201" s="15">
        <f t="shared" si="5"/>
        <v>31</v>
      </c>
    </row>
    <row r="202" spans="1:48" ht="18.75" customHeight="1">
      <c r="A202" s="198"/>
      <c r="B202" s="198"/>
      <c r="C202" s="198"/>
      <c r="D202" s="198"/>
      <c r="E202" s="198"/>
      <c r="F202" s="198"/>
      <c r="G202" s="198"/>
      <c r="H202" s="198"/>
      <c r="I202" s="198"/>
      <c r="J202" s="198"/>
      <c r="K202" s="198"/>
      <c r="L202" s="198"/>
      <c r="M202" s="198"/>
      <c r="N202" s="198"/>
      <c r="O202" s="198"/>
      <c r="P202" s="198"/>
      <c r="Q202" s="198"/>
      <c r="R202" s="198"/>
      <c r="S202" s="198"/>
      <c r="T202" s="198"/>
      <c r="U202" s="198"/>
      <c r="V202" s="198"/>
      <c r="W202" s="198"/>
      <c r="X202" s="198"/>
      <c r="Y202" s="198"/>
      <c r="Z202" s="198"/>
      <c r="AA202" s="198"/>
      <c r="AB202" s="198"/>
      <c r="AC202" s="198"/>
      <c r="AD202" s="198"/>
      <c r="AE202" s="198"/>
      <c r="AF202" s="198"/>
      <c r="AG202" s="198"/>
      <c r="AH202" s="198"/>
      <c r="AI202" s="198"/>
      <c r="AJ202" s="198"/>
      <c r="AK202" s="198"/>
      <c r="AL202" s="198"/>
      <c r="AM202" s="198"/>
      <c r="AN202" s="198"/>
      <c r="AO202" s="198"/>
      <c r="AP202" s="198"/>
      <c r="AQ202" s="198"/>
      <c r="AR202" s="15">
        <f t="shared" si="5"/>
        <v>32</v>
      </c>
    </row>
    <row r="203" spans="1:48" ht="18.75" customHeight="1">
      <c r="A203" s="198"/>
      <c r="B203" s="198"/>
      <c r="C203" s="198"/>
      <c r="D203" s="198"/>
      <c r="E203" s="198"/>
      <c r="F203" s="198"/>
      <c r="G203" s="198"/>
      <c r="H203" s="198"/>
      <c r="I203" s="198"/>
      <c r="J203" s="198"/>
      <c r="K203" s="198"/>
      <c r="L203" s="198"/>
      <c r="M203" s="198"/>
      <c r="N203" s="198"/>
      <c r="O203" s="198"/>
      <c r="P203" s="198"/>
      <c r="Q203" s="198"/>
      <c r="R203" s="198"/>
      <c r="S203" s="198"/>
      <c r="T203" s="198"/>
      <c r="U203" s="198"/>
      <c r="V203" s="198"/>
      <c r="W203" s="198"/>
      <c r="X203" s="198"/>
      <c r="Y203" s="198"/>
      <c r="Z203" s="198"/>
      <c r="AA203" s="198"/>
      <c r="AB203" s="198"/>
      <c r="AC203" s="198"/>
      <c r="AD203" s="198"/>
      <c r="AE203" s="198"/>
      <c r="AF203" s="198"/>
      <c r="AG203" s="198"/>
      <c r="AH203" s="198"/>
      <c r="AI203" s="198"/>
      <c r="AJ203" s="198"/>
      <c r="AK203" s="198"/>
      <c r="AL203" s="198"/>
      <c r="AM203" s="198"/>
      <c r="AN203" s="198"/>
      <c r="AO203" s="198"/>
      <c r="AP203" s="198"/>
      <c r="AQ203" s="198"/>
      <c r="AR203" s="15">
        <f t="shared" si="5"/>
        <v>33</v>
      </c>
    </row>
    <row r="204" spans="1:48" ht="18.75" customHeight="1">
      <c r="A204" s="198"/>
      <c r="B204" s="198"/>
      <c r="C204" s="198"/>
      <c r="D204" s="198"/>
      <c r="E204" s="198"/>
      <c r="F204" s="198"/>
      <c r="G204" s="198"/>
      <c r="H204" s="198"/>
      <c r="I204" s="198"/>
      <c r="J204" s="198"/>
      <c r="K204" s="198"/>
      <c r="L204" s="198"/>
      <c r="M204" s="198"/>
      <c r="N204" s="198"/>
      <c r="O204" s="198"/>
      <c r="P204" s="198"/>
      <c r="Q204" s="198"/>
      <c r="R204" s="198"/>
      <c r="S204" s="198"/>
      <c r="T204" s="198"/>
      <c r="U204" s="198"/>
      <c r="V204" s="198"/>
      <c r="W204" s="198"/>
      <c r="X204" s="198"/>
      <c r="Y204" s="198"/>
      <c r="Z204" s="198"/>
      <c r="AA204" s="198"/>
      <c r="AB204" s="198"/>
      <c r="AC204" s="198"/>
      <c r="AD204" s="198"/>
      <c r="AE204" s="198"/>
      <c r="AF204" s="198"/>
      <c r="AG204" s="198"/>
      <c r="AH204" s="198"/>
      <c r="AI204" s="198"/>
      <c r="AJ204" s="198"/>
      <c r="AK204" s="198"/>
      <c r="AL204" s="198"/>
      <c r="AM204" s="198"/>
      <c r="AN204" s="198"/>
      <c r="AO204" s="198"/>
      <c r="AP204" s="198"/>
      <c r="AQ204" s="198"/>
      <c r="AR204" s="15">
        <f t="shared" si="5"/>
        <v>34</v>
      </c>
    </row>
    <row r="205" spans="1:48" ht="16.5" customHeight="1">
      <c r="A205" s="197"/>
      <c r="B205" s="197"/>
      <c r="AI205" s="200" t="str">
        <f>'1'!$AI$1</f>
        <v>R4健障障第100号</v>
      </c>
      <c r="AJ205" s="200"/>
      <c r="AK205" s="200"/>
      <c r="AL205" s="200"/>
      <c r="AM205" s="200"/>
      <c r="AN205" s="200"/>
      <c r="AO205" s="200"/>
      <c r="AP205" s="200"/>
      <c r="AQ205" s="200"/>
      <c r="AR205" s="15">
        <v>1</v>
      </c>
    </row>
    <row r="206" spans="1:48" ht="16.5" customHeight="1">
      <c r="A206" s="197"/>
      <c r="B206" s="197"/>
      <c r="AI206" s="201">
        <f>'1'!$AI$2</f>
        <v>44677</v>
      </c>
      <c r="AJ206" s="201"/>
      <c r="AK206" s="201"/>
      <c r="AL206" s="201"/>
      <c r="AM206" s="201"/>
      <c r="AN206" s="201"/>
      <c r="AO206" s="201"/>
      <c r="AP206" s="201"/>
      <c r="AQ206" s="201"/>
      <c r="AR206" s="15">
        <f>AR205+1</f>
        <v>2</v>
      </c>
    </row>
    <row r="207" spans="1:48" ht="18.75" customHeight="1">
      <c r="A207" s="198"/>
      <c r="B207" s="198"/>
      <c r="C207" s="198"/>
      <c r="D207" s="198"/>
      <c r="E207" s="198"/>
      <c r="F207" s="198"/>
      <c r="G207" s="198"/>
      <c r="H207" s="198"/>
      <c r="I207" s="198"/>
      <c r="J207" s="198"/>
      <c r="K207" s="198"/>
      <c r="L207" s="198"/>
      <c r="M207" s="198"/>
      <c r="N207" s="198"/>
      <c r="O207" s="198"/>
      <c r="P207" s="198"/>
      <c r="Q207" s="198"/>
      <c r="R207" s="198"/>
      <c r="S207" s="198"/>
      <c r="T207" s="198"/>
      <c r="U207" s="198"/>
      <c r="V207" s="198"/>
      <c r="W207" s="198"/>
      <c r="X207" s="198"/>
      <c r="Y207" s="198"/>
      <c r="Z207" s="198"/>
      <c r="AA207" s="198"/>
      <c r="AB207" s="198"/>
      <c r="AC207" s="198"/>
      <c r="AD207" s="198"/>
      <c r="AE207" s="198"/>
      <c r="AF207" s="198"/>
      <c r="AG207" s="198"/>
      <c r="AH207" s="198"/>
      <c r="AI207" s="198"/>
      <c r="AJ207" s="198"/>
      <c r="AK207" s="198"/>
      <c r="AL207" s="198"/>
      <c r="AM207" s="198"/>
      <c r="AN207" s="198"/>
      <c r="AO207" s="198"/>
      <c r="AP207" s="198"/>
      <c r="AQ207" s="198"/>
      <c r="AR207" s="15">
        <f t="shared" ref="AR207:AR238" si="6">AR206+1</f>
        <v>3</v>
      </c>
    </row>
    <row r="208" spans="1:48" ht="18.75" customHeight="1">
      <c r="A208" s="199" t="str">
        <f>INDEX(送付先一覧!A:O,MATCH(AV208,送付先一覧!A:A,0),4)</f>
        <v>社会福祉法人　つどいの家</v>
      </c>
      <c r="B208" s="199"/>
      <c r="C208" s="199"/>
      <c r="D208" s="199"/>
      <c r="E208" s="199"/>
      <c r="F208" s="199"/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  <c r="T208" s="199"/>
      <c r="U208" s="199"/>
      <c r="V208" s="199"/>
      <c r="W208" s="199"/>
      <c r="X208" s="199"/>
      <c r="Y208" s="199"/>
      <c r="Z208" s="199"/>
      <c r="AA208" s="199"/>
      <c r="AB208" s="199"/>
      <c r="AC208" s="199"/>
      <c r="AD208" s="199"/>
      <c r="AE208" s="199"/>
      <c r="AF208" s="199"/>
      <c r="AG208" s="199"/>
      <c r="AH208" s="199"/>
      <c r="AI208" s="199"/>
      <c r="AJ208" s="199"/>
      <c r="AK208" s="199"/>
      <c r="AL208" s="199"/>
      <c r="AM208" s="199"/>
      <c r="AN208" s="199"/>
      <c r="AO208" s="199"/>
      <c r="AP208" s="199"/>
      <c r="AQ208" s="199"/>
      <c r="AR208" s="15">
        <f t="shared" si="6"/>
        <v>4</v>
      </c>
      <c r="AV208" s="65">
        <f>AV174+1</f>
        <v>27</v>
      </c>
    </row>
    <row r="209" spans="1:44" ht="18.75" customHeight="1">
      <c r="A209" s="202" t="str">
        <f>INDEX(送付先一覧!A:O,MATCH(AV208,送付先一覧!A:A,0),5)</f>
        <v>理事長　佐藤　清</v>
      </c>
      <c r="B209" s="202"/>
      <c r="C209" s="202"/>
      <c r="D209" s="202"/>
      <c r="E209" s="202"/>
      <c r="F209" s="202"/>
      <c r="G209" s="202"/>
      <c r="H209" s="202"/>
      <c r="I209" s="202"/>
      <c r="J209" s="202"/>
      <c r="K209" s="202"/>
      <c r="L209" s="202"/>
      <c r="M209" s="202"/>
      <c r="N209" s="202"/>
      <c r="O209" s="202"/>
      <c r="P209" s="202"/>
      <c r="Q209" s="202"/>
      <c r="R209" s="202"/>
      <c r="S209" s="202"/>
      <c r="T209" s="202"/>
      <c r="U209" s="202"/>
      <c r="V209" s="202"/>
      <c r="W209" s="202"/>
      <c r="X209" s="202"/>
      <c r="Y209" s="202"/>
      <c r="Z209" s="202"/>
      <c r="AA209" s="202"/>
      <c r="AB209" s="202"/>
      <c r="AC209" s="202"/>
      <c r="AD209" s="202"/>
      <c r="AE209" s="202"/>
      <c r="AF209" s="202"/>
      <c r="AG209" s="202"/>
      <c r="AH209" s="202"/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15">
        <f t="shared" si="6"/>
        <v>5</v>
      </c>
    </row>
    <row r="210" spans="1:44" ht="18.75" customHeight="1">
      <c r="A210" s="198"/>
      <c r="B210" s="198"/>
      <c r="C210" s="198"/>
      <c r="D210" s="198"/>
      <c r="E210" s="198"/>
      <c r="F210" s="198"/>
      <c r="G210" s="198"/>
      <c r="H210" s="198"/>
      <c r="I210" s="198"/>
      <c r="J210" s="198"/>
      <c r="K210" s="198"/>
      <c r="L210" s="198"/>
      <c r="M210" s="198"/>
      <c r="N210" s="198"/>
      <c r="O210" s="198"/>
      <c r="P210" s="198"/>
      <c r="Q210" s="198"/>
      <c r="R210" s="198"/>
      <c r="S210" s="198"/>
      <c r="T210" s="198"/>
      <c r="U210" s="198"/>
      <c r="V210" s="198"/>
      <c r="W210" s="198"/>
      <c r="X210" s="198"/>
      <c r="Y210" s="198"/>
      <c r="Z210" s="198"/>
      <c r="AA210" s="198"/>
      <c r="AB210" s="198"/>
      <c r="AC210" s="198"/>
      <c r="AD210" s="198"/>
      <c r="AE210" s="198"/>
      <c r="AF210" s="198"/>
      <c r="AG210" s="198"/>
      <c r="AH210" s="198"/>
      <c r="AI210" s="198"/>
      <c r="AJ210" s="198"/>
      <c r="AK210" s="198"/>
      <c r="AL210" s="198"/>
      <c r="AM210" s="198"/>
      <c r="AN210" s="198"/>
      <c r="AO210" s="198"/>
      <c r="AP210" s="198"/>
      <c r="AQ210" s="198"/>
      <c r="AR210" s="15">
        <f t="shared" si="6"/>
        <v>6</v>
      </c>
    </row>
    <row r="211" spans="1:44" ht="18.75" customHeight="1">
      <c r="V211" s="199" t="str">
        <f>'1'!$V$7</f>
        <v>仙台市健康福祉局障害福祉部障害企画課長　　</v>
      </c>
      <c r="W211" s="199"/>
      <c r="X211" s="199"/>
      <c r="Y211" s="199"/>
      <c r="Z211" s="199"/>
      <c r="AA211" s="199"/>
      <c r="AB211" s="199"/>
      <c r="AC211" s="199"/>
      <c r="AD211" s="199"/>
      <c r="AE211" s="199"/>
      <c r="AF211" s="199"/>
      <c r="AG211" s="199"/>
      <c r="AH211" s="199"/>
      <c r="AI211" s="199"/>
      <c r="AJ211" s="199"/>
      <c r="AK211" s="199"/>
      <c r="AL211" s="199"/>
      <c r="AM211" s="199"/>
      <c r="AN211" s="199"/>
      <c r="AO211" s="199"/>
      <c r="AP211" s="199"/>
      <c r="AQ211" s="199"/>
      <c r="AR211" s="15">
        <f t="shared" si="6"/>
        <v>7</v>
      </c>
    </row>
    <row r="212" spans="1:44" ht="18.75" customHeight="1">
      <c r="V212" s="199" t="str">
        <f>'1'!$V$8</f>
        <v>仙台市健康福祉局障害福祉部障害者支援課長　</v>
      </c>
      <c r="W212" s="199"/>
      <c r="X212" s="199"/>
      <c r="Y212" s="199"/>
      <c r="Z212" s="199"/>
      <c r="AA212" s="199"/>
      <c r="AB212" s="199"/>
      <c r="AC212" s="199"/>
      <c r="AD212" s="199"/>
      <c r="AE212" s="199"/>
      <c r="AF212" s="199"/>
      <c r="AG212" s="199"/>
      <c r="AH212" s="199"/>
      <c r="AI212" s="199"/>
      <c r="AJ212" s="199"/>
      <c r="AK212" s="199"/>
      <c r="AL212" s="199"/>
      <c r="AM212" s="199"/>
      <c r="AN212" s="199"/>
      <c r="AO212" s="199"/>
      <c r="AP212" s="199"/>
      <c r="AQ212" s="199"/>
      <c r="AR212" s="15">
        <f t="shared" si="6"/>
        <v>8</v>
      </c>
    </row>
    <row r="213" spans="1:44" ht="18.75" customHeight="1">
      <c r="A213" s="198"/>
      <c r="B213" s="198"/>
      <c r="C213" s="198"/>
      <c r="D213" s="198"/>
      <c r="E213" s="198"/>
      <c r="F213" s="198"/>
      <c r="G213" s="198"/>
      <c r="H213" s="198"/>
      <c r="I213" s="198"/>
      <c r="J213" s="198"/>
      <c r="K213" s="198"/>
      <c r="L213" s="198"/>
      <c r="M213" s="198"/>
      <c r="N213" s="198"/>
      <c r="O213" s="198"/>
      <c r="P213" s="198"/>
      <c r="Q213" s="198"/>
      <c r="R213" s="198"/>
      <c r="S213" s="198"/>
      <c r="T213" s="198"/>
      <c r="U213" s="198"/>
      <c r="V213" s="198"/>
      <c r="W213" s="198"/>
      <c r="X213" s="198"/>
      <c r="Y213" s="198"/>
      <c r="Z213" s="198"/>
      <c r="AA213" s="198"/>
      <c r="AB213" s="198"/>
      <c r="AC213" s="198"/>
      <c r="AD213" s="198"/>
      <c r="AE213" s="198"/>
      <c r="AF213" s="198"/>
      <c r="AG213" s="198"/>
      <c r="AH213" s="198"/>
      <c r="AI213" s="198"/>
      <c r="AJ213" s="198"/>
      <c r="AK213" s="198"/>
      <c r="AL213" s="198"/>
      <c r="AM213" s="198"/>
      <c r="AN213" s="198"/>
      <c r="AO213" s="198"/>
      <c r="AP213" s="198"/>
      <c r="AQ213" s="198"/>
      <c r="AR213" s="15">
        <f t="shared" si="6"/>
        <v>9</v>
      </c>
    </row>
    <row r="214" spans="1:44" ht="22.5" customHeight="1">
      <c r="A214" s="203" t="str">
        <f>'1'!$A$10</f>
        <v>令和４年度仙台市障害福祉分野のICT導入モデル事業補助金の内示について</v>
      </c>
      <c r="B214" s="203"/>
      <c r="C214" s="203"/>
      <c r="D214" s="203"/>
      <c r="E214" s="203"/>
      <c r="F214" s="203"/>
      <c r="G214" s="203"/>
      <c r="H214" s="203"/>
      <c r="I214" s="203"/>
      <c r="J214" s="203"/>
      <c r="K214" s="203"/>
      <c r="L214" s="203"/>
      <c r="M214" s="203"/>
      <c r="N214" s="203"/>
      <c r="O214" s="203"/>
      <c r="P214" s="203"/>
      <c r="Q214" s="203"/>
      <c r="R214" s="203"/>
      <c r="S214" s="203"/>
      <c r="T214" s="203"/>
      <c r="U214" s="203"/>
      <c r="V214" s="203"/>
      <c r="W214" s="203"/>
      <c r="X214" s="203"/>
      <c r="Y214" s="203"/>
      <c r="Z214" s="203"/>
      <c r="AA214" s="203"/>
      <c r="AB214" s="203"/>
      <c r="AC214" s="203"/>
      <c r="AD214" s="203"/>
      <c r="AE214" s="203"/>
      <c r="AF214" s="203"/>
      <c r="AG214" s="203"/>
      <c r="AH214" s="203"/>
      <c r="AI214" s="203"/>
      <c r="AJ214" s="203"/>
      <c r="AK214" s="203"/>
      <c r="AL214" s="203"/>
      <c r="AM214" s="203"/>
      <c r="AN214" s="203"/>
      <c r="AO214" s="203"/>
      <c r="AP214" s="203"/>
      <c r="AQ214" s="203"/>
      <c r="AR214" s="15">
        <f t="shared" si="6"/>
        <v>10</v>
      </c>
    </row>
    <row r="215" spans="1:44" ht="18.75" customHeight="1">
      <c r="A215" s="198"/>
      <c r="B215" s="198"/>
      <c r="C215" s="198"/>
      <c r="D215" s="198"/>
      <c r="E215" s="198"/>
      <c r="F215" s="198"/>
      <c r="G215" s="198"/>
      <c r="H215" s="198"/>
      <c r="I215" s="198"/>
      <c r="J215" s="198"/>
      <c r="K215" s="198"/>
      <c r="L215" s="198"/>
      <c r="M215" s="198"/>
      <c r="N215" s="198"/>
      <c r="O215" s="198"/>
      <c r="P215" s="198"/>
      <c r="Q215" s="198"/>
      <c r="R215" s="198"/>
      <c r="S215" s="198"/>
      <c r="T215" s="198"/>
      <c r="U215" s="198"/>
      <c r="V215" s="198"/>
      <c r="W215" s="198"/>
      <c r="X215" s="198"/>
      <c r="Y215" s="198"/>
      <c r="Z215" s="198"/>
      <c r="AA215" s="198"/>
      <c r="AB215" s="198"/>
      <c r="AC215" s="198"/>
      <c r="AD215" s="198"/>
      <c r="AE215" s="198"/>
      <c r="AF215" s="198"/>
      <c r="AG215" s="198"/>
      <c r="AH215" s="198"/>
      <c r="AI215" s="198"/>
      <c r="AJ215" s="198"/>
      <c r="AK215" s="198"/>
      <c r="AL215" s="198"/>
      <c r="AM215" s="198"/>
      <c r="AN215" s="198"/>
      <c r="AO215" s="198"/>
      <c r="AP215" s="198"/>
      <c r="AQ215" s="198"/>
      <c r="AR215" s="15">
        <f t="shared" si="6"/>
        <v>11</v>
      </c>
    </row>
    <row r="216" spans="1:44" ht="93.75" customHeight="1">
      <c r="A216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216" s="205"/>
      <c r="C216" s="205"/>
      <c r="D216" s="205"/>
      <c r="E216" s="205"/>
      <c r="F216" s="205"/>
      <c r="G216" s="205"/>
      <c r="H216" s="205"/>
      <c r="I216" s="205"/>
      <c r="J216" s="205"/>
      <c r="K216" s="205"/>
      <c r="L216" s="205"/>
      <c r="M216" s="205"/>
      <c r="N216" s="205"/>
      <c r="O216" s="205"/>
      <c r="P216" s="205"/>
      <c r="Q216" s="205"/>
      <c r="R216" s="205"/>
      <c r="S216" s="205"/>
      <c r="T216" s="205"/>
      <c r="U216" s="205"/>
      <c r="V216" s="205"/>
      <c r="W216" s="205"/>
      <c r="X216" s="205"/>
      <c r="Y216" s="205"/>
      <c r="Z216" s="205"/>
      <c r="AA216" s="205"/>
      <c r="AB216" s="205"/>
      <c r="AC216" s="205"/>
      <c r="AD216" s="205"/>
      <c r="AE216" s="205"/>
      <c r="AF216" s="205"/>
      <c r="AG216" s="205"/>
      <c r="AH216" s="205"/>
      <c r="AI216" s="205"/>
      <c r="AJ216" s="205"/>
      <c r="AK216" s="205"/>
      <c r="AL216" s="205"/>
      <c r="AM216" s="205"/>
      <c r="AN216" s="205"/>
      <c r="AO216" s="205"/>
      <c r="AP216" s="205"/>
      <c r="AQ216" s="205"/>
      <c r="AR216" s="15">
        <f t="shared" si="6"/>
        <v>12</v>
      </c>
    </row>
    <row r="217" spans="1:44" ht="18.75" customHeight="1">
      <c r="A217" s="198"/>
      <c r="B217" s="198"/>
      <c r="C217" s="198"/>
      <c r="D217" s="198"/>
      <c r="E217" s="198"/>
      <c r="F217" s="198"/>
      <c r="G217" s="198"/>
      <c r="H217" s="198"/>
      <c r="I217" s="198"/>
      <c r="J217" s="198"/>
      <c r="K217" s="198"/>
      <c r="L217" s="198"/>
      <c r="M217" s="198"/>
      <c r="N217" s="198"/>
      <c r="O217" s="198"/>
      <c r="P217" s="198"/>
      <c r="Q217" s="198"/>
      <c r="R217" s="198"/>
      <c r="S217" s="198"/>
      <c r="T217" s="198"/>
      <c r="U217" s="198"/>
      <c r="V217" s="198"/>
      <c r="W217" s="198"/>
      <c r="X217" s="198"/>
      <c r="Y217" s="198"/>
      <c r="Z217" s="198"/>
      <c r="AA217" s="198"/>
      <c r="AB217" s="198"/>
      <c r="AC217" s="198"/>
      <c r="AD217" s="198"/>
      <c r="AE217" s="198"/>
      <c r="AF217" s="198"/>
      <c r="AG217" s="198"/>
      <c r="AH217" s="198"/>
      <c r="AI217" s="198"/>
      <c r="AJ217" s="198"/>
      <c r="AK217" s="198"/>
      <c r="AL217" s="198"/>
      <c r="AM217" s="198"/>
      <c r="AN217" s="198"/>
      <c r="AO217" s="198"/>
      <c r="AP217" s="198"/>
      <c r="AQ217" s="198"/>
      <c r="AR217" s="15">
        <f t="shared" si="6"/>
        <v>13</v>
      </c>
    </row>
    <row r="218" spans="1:44" ht="18.75" customHeight="1">
      <c r="A218" s="197" t="str">
        <f>'1'!$A$14</f>
        <v>記</v>
      </c>
      <c r="B218" s="197"/>
      <c r="C218" s="197"/>
      <c r="D218" s="197"/>
      <c r="E218" s="197"/>
      <c r="F218" s="197"/>
      <c r="G218" s="197"/>
      <c r="H218" s="197"/>
      <c r="I218" s="197"/>
      <c r="J218" s="197"/>
      <c r="K218" s="197"/>
      <c r="L218" s="197"/>
      <c r="M218" s="197"/>
      <c r="N218" s="197"/>
      <c r="O218" s="197"/>
      <c r="P218" s="197"/>
      <c r="Q218" s="197"/>
      <c r="R218" s="197"/>
      <c r="S218" s="197"/>
      <c r="T218" s="197"/>
      <c r="U218" s="197"/>
      <c r="V218" s="197"/>
      <c r="W218" s="197"/>
      <c r="X218" s="197"/>
      <c r="Y218" s="197"/>
      <c r="Z218" s="197"/>
      <c r="AA218" s="197"/>
      <c r="AB218" s="197"/>
      <c r="AC218" s="197"/>
      <c r="AD218" s="197"/>
      <c r="AE218" s="197"/>
      <c r="AF218" s="197"/>
      <c r="AG218" s="197"/>
      <c r="AH218" s="197"/>
      <c r="AI218" s="197"/>
      <c r="AJ218" s="197"/>
      <c r="AK218" s="197"/>
      <c r="AL218" s="197"/>
      <c r="AM218" s="197"/>
      <c r="AN218" s="197"/>
      <c r="AO218" s="197"/>
      <c r="AP218" s="197"/>
      <c r="AQ218" s="197"/>
      <c r="AR218" s="15">
        <f t="shared" si="6"/>
        <v>14</v>
      </c>
    </row>
    <row r="219" spans="1:44" ht="18.75" customHeight="1">
      <c r="A219" s="198"/>
      <c r="B219" s="198"/>
      <c r="C219" s="198"/>
      <c r="D219" s="198"/>
      <c r="E219" s="198"/>
      <c r="F219" s="198"/>
      <c r="G219" s="198"/>
      <c r="H219" s="198"/>
      <c r="I219" s="198"/>
      <c r="J219" s="198"/>
      <c r="K219" s="198"/>
      <c r="L219" s="198"/>
      <c r="M219" s="198"/>
      <c r="N219" s="198"/>
      <c r="O219" s="198"/>
      <c r="P219" s="198"/>
      <c r="Q219" s="198"/>
      <c r="R219" s="198"/>
      <c r="S219" s="198"/>
      <c r="T219" s="198"/>
      <c r="U219" s="198"/>
      <c r="V219" s="198"/>
      <c r="W219" s="198"/>
      <c r="X219" s="198"/>
      <c r="Y219" s="198"/>
      <c r="Z219" s="198"/>
      <c r="AA219" s="198"/>
      <c r="AB219" s="198"/>
      <c r="AC219" s="198"/>
      <c r="AD219" s="198"/>
      <c r="AE219" s="198"/>
      <c r="AF219" s="198"/>
      <c r="AG219" s="198"/>
      <c r="AH219" s="198"/>
      <c r="AI219" s="198"/>
      <c r="AJ219" s="198"/>
      <c r="AK219" s="198"/>
      <c r="AL219" s="198"/>
      <c r="AM219" s="198"/>
      <c r="AN219" s="198"/>
      <c r="AO219" s="198"/>
      <c r="AP219" s="198"/>
      <c r="AQ219" s="198"/>
      <c r="AR219" s="15">
        <f t="shared" si="6"/>
        <v>15</v>
      </c>
    </row>
    <row r="220" spans="1:44" ht="18.75" customHeight="1">
      <c r="I220" s="199" t="str">
        <f>'1'!$I$16</f>
        <v>補助内示額</v>
      </c>
      <c r="J220" s="199"/>
      <c r="K220" s="199"/>
      <c r="L220" s="199"/>
      <c r="M220" s="199"/>
      <c r="N220" s="199"/>
      <c r="S220" s="206">
        <f>INDEX(送付先一覧!A:O,MATCH(AV208,送付先一覧!A:A,0),12)</f>
        <v>588000</v>
      </c>
      <c r="T220" s="206"/>
      <c r="U220" s="206"/>
      <c r="V220" s="206"/>
      <c r="W220" s="206"/>
      <c r="X220" s="206"/>
      <c r="Y220" s="206"/>
      <c r="Z220" s="206"/>
      <c r="AA220" s="206"/>
      <c r="AB220" s="206"/>
      <c r="AC220" s="206"/>
      <c r="AD220" s="206"/>
      <c r="AE220" s="206"/>
      <c r="AF220" s="199"/>
      <c r="AG220" s="199"/>
      <c r="AH220" s="199"/>
      <c r="AI220" s="199"/>
      <c r="AR220" s="15">
        <f t="shared" si="6"/>
        <v>16</v>
      </c>
    </row>
    <row r="221" spans="1:44" ht="18.75" customHeight="1">
      <c r="I221" s="199" t="str">
        <f>'1'!$I$17</f>
        <v>事業種別</v>
      </c>
      <c r="J221" s="199"/>
      <c r="K221" s="199"/>
      <c r="L221" s="199"/>
      <c r="M221" s="199"/>
      <c r="N221" s="199"/>
      <c r="O221" s="199"/>
      <c r="P221" s="199"/>
      <c r="Q221" s="199"/>
      <c r="R221" s="199"/>
      <c r="S221" s="199" t="str">
        <f>INDEX(送付先一覧!A:O,MATCH(AV208,送付先一覧!A:A,0),9)</f>
        <v>生活介護</v>
      </c>
      <c r="T221" s="199"/>
      <c r="U221" s="199"/>
      <c r="V221" s="199"/>
      <c r="W221" s="199"/>
      <c r="X221" s="199"/>
      <c r="Y221" s="199"/>
      <c r="Z221" s="199"/>
      <c r="AA221" s="199"/>
      <c r="AB221" s="199"/>
      <c r="AC221" s="199"/>
      <c r="AD221" s="199"/>
      <c r="AE221" s="199"/>
      <c r="AF221" s="199"/>
      <c r="AG221" s="199"/>
      <c r="AH221" s="199"/>
      <c r="AI221" s="199"/>
      <c r="AJ221" s="199"/>
      <c r="AK221" s="199"/>
      <c r="AL221" s="199"/>
      <c r="AM221" s="199"/>
      <c r="AN221" s="199"/>
      <c r="AO221" s="199"/>
      <c r="AP221" s="199"/>
      <c r="AR221" s="15">
        <f t="shared" si="6"/>
        <v>17</v>
      </c>
    </row>
    <row r="222" spans="1:44" ht="18.75" customHeight="1">
      <c r="I222" s="199" t="str">
        <f>'1'!$I$18</f>
        <v>事業所名</v>
      </c>
      <c r="J222" s="199"/>
      <c r="K222" s="199"/>
      <c r="L222" s="199"/>
      <c r="M222" s="199"/>
      <c r="N222" s="199"/>
      <c r="O222" s="199"/>
      <c r="P222" s="199"/>
      <c r="Q222" s="199"/>
      <c r="R222" s="199"/>
      <c r="S222" s="204" t="str">
        <f>INDEX(送付先一覧!A:O,MATCH(AV208,送付先一覧!A:A,0),8)</f>
        <v>つどいの家・アプリ</v>
      </c>
      <c r="T222" s="204"/>
      <c r="U222" s="204"/>
      <c r="V222" s="204"/>
      <c r="W222" s="204"/>
      <c r="X222" s="204"/>
      <c r="Y222" s="204"/>
      <c r="Z222" s="204"/>
      <c r="AA222" s="204"/>
      <c r="AB222" s="204"/>
      <c r="AC222" s="204"/>
      <c r="AD222" s="204"/>
      <c r="AE222" s="204"/>
      <c r="AF222" s="204"/>
      <c r="AG222" s="204"/>
      <c r="AH222" s="204"/>
      <c r="AI222" s="204"/>
      <c r="AJ222" s="204"/>
      <c r="AK222" s="204"/>
      <c r="AL222" s="204"/>
      <c r="AM222" s="204"/>
      <c r="AN222" s="204"/>
      <c r="AO222" s="204"/>
      <c r="AP222" s="204"/>
      <c r="AQ222" s="204"/>
      <c r="AR222" s="15">
        <f t="shared" si="6"/>
        <v>18</v>
      </c>
    </row>
    <row r="223" spans="1:44" ht="18.75" customHeight="1">
      <c r="I223" s="198"/>
      <c r="J223" s="198"/>
      <c r="K223" s="198"/>
      <c r="L223" s="198"/>
      <c r="M223" s="198"/>
      <c r="N223" s="198"/>
      <c r="O223" s="198"/>
      <c r="P223" s="198"/>
      <c r="Q223" s="198"/>
      <c r="R223" s="198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66"/>
      <c r="AH223" s="66"/>
      <c r="AI223" s="66"/>
      <c r="AJ223" s="66"/>
      <c r="AK223" s="66"/>
      <c r="AL223" s="66"/>
      <c r="AM223" s="66"/>
      <c r="AN223" s="66"/>
      <c r="AO223" s="66"/>
      <c r="AP223" s="66"/>
      <c r="AQ223" s="66"/>
      <c r="AR223" s="15">
        <f t="shared" si="6"/>
        <v>19</v>
      </c>
    </row>
    <row r="224" spans="1:44" ht="18.75" customHeight="1">
      <c r="I224" s="198"/>
      <c r="J224" s="198"/>
      <c r="K224" s="198"/>
      <c r="L224" s="198"/>
      <c r="M224" s="198"/>
      <c r="N224" s="198"/>
      <c r="O224" s="198"/>
      <c r="P224" s="198"/>
      <c r="Q224" s="198"/>
      <c r="R224" s="198"/>
      <c r="S224" s="198"/>
      <c r="T224" s="198"/>
      <c r="U224" s="198"/>
      <c r="V224" s="198"/>
      <c r="W224" s="198"/>
      <c r="X224" s="198"/>
      <c r="Y224" s="198"/>
      <c r="Z224" s="198"/>
      <c r="AA224" s="198"/>
      <c r="AB224" s="198"/>
      <c r="AC224" s="198"/>
      <c r="AD224" s="198"/>
      <c r="AE224" s="198"/>
      <c r="AF224" s="198"/>
      <c r="AG224" s="198"/>
      <c r="AH224" s="198"/>
      <c r="AI224" s="198"/>
      <c r="AR224" s="15">
        <f t="shared" si="6"/>
        <v>20</v>
      </c>
    </row>
    <row r="225" spans="1:44" ht="18.75" customHeight="1">
      <c r="A225" s="198"/>
      <c r="B225" s="198"/>
      <c r="C225" s="198"/>
      <c r="D225" s="198"/>
      <c r="E225" s="198"/>
      <c r="F225" s="198"/>
      <c r="G225" s="198"/>
      <c r="H225" s="198"/>
      <c r="I225" s="198"/>
      <c r="J225" s="198"/>
      <c r="K225" s="198"/>
      <c r="L225" s="198"/>
      <c r="M225" s="198"/>
      <c r="N225" s="198"/>
      <c r="O225" s="198"/>
      <c r="P225" s="198"/>
      <c r="Q225" s="198"/>
      <c r="R225" s="198"/>
      <c r="S225" s="198"/>
      <c r="T225" s="198"/>
      <c r="U225" s="198"/>
      <c r="V225" s="198"/>
      <c r="W225" s="198"/>
      <c r="X225" s="198"/>
      <c r="Y225" s="198"/>
      <c r="Z225" s="198"/>
      <c r="AA225" s="198"/>
      <c r="AB225" s="198"/>
      <c r="AC225" s="198"/>
      <c r="AD225" s="198"/>
      <c r="AE225" s="198"/>
      <c r="AF225" s="198"/>
      <c r="AG225" s="198"/>
      <c r="AH225" s="198"/>
      <c r="AI225" s="198"/>
      <c r="AJ225" s="198"/>
      <c r="AK225" s="198"/>
      <c r="AL225" s="198"/>
      <c r="AM225" s="198"/>
      <c r="AN225" s="198"/>
      <c r="AO225" s="198"/>
      <c r="AP225" s="198"/>
      <c r="AQ225" s="198"/>
      <c r="AR225" s="15">
        <f t="shared" si="6"/>
        <v>21</v>
      </c>
    </row>
    <row r="226" spans="1:44" ht="18.75" customHeight="1">
      <c r="A226" s="198"/>
      <c r="B226" s="198"/>
      <c r="C226" s="198"/>
      <c r="D226" s="198"/>
      <c r="E226" s="198"/>
      <c r="F226" s="198"/>
      <c r="G226" s="198"/>
      <c r="H226" s="198"/>
      <c r="I226" s="198"/>
      <c r="J226" s="198"/>
      <c r="K226" s="198"/>
      <c r="L226" s="198"/>
      <c r="M226" s="198"/>
      <c r="N226" s="198"/>
      <c r="O226" s="198"/>
      <c r="P226" s="198"/>
      <c r="Q226" s="198"/>
      <c r="R226" s="198"/>
      <c r="S226" s="198"/>
      <c r="T226" s="198"/>
      <c r="U226" s="198"/>
      <c r="V226" s="198"/>
      <c r="W226" s="198"/>
      <c r="X226" s="198"/>
      <c r="Y226" s="198"/>
      <c r="Z226" s="198"/>
      <c r="AA226" s="198"/>
      <c r="AB226" s="198"/>
      <c r="AC226" s="198"/>
      <c r="AD226" s="198"/>
      <c r="AE226" s="198"/>
      <c r="AF226" s="198"/>
      <c r="AG226" s="198"/>
      <c r="AH226" s="198"/>
      <c r="AI226" s="198"/>
      <c r="AJ226" s="198"/>
      <c r="AK226" s="198"/>
      <c r="AL226" s="198"/>
      <c r="AM226" s="198"/>
      <c r="AN226" s="198"/>
      <c r="AO226" s="198"/>
      <c r="AP226" s="198"/>
      <c r="AQ226" s="198"/>
      <c r="AR226" s="15">
        <f t="shared" si="6"/>
        <v>22</v>
      </c>
    </row>
    <row r="227" spans="1:44" ht="18.75" customHeight="1">
      <c r="A227" s="198"/>
      <c r="B227" s="198"/>
      <c r="C227" s="198"/>
      <c r="D227" s="198"/>
      <c r="E227" s="198"/>
      <c r="F227" s="198"/>
      <c r="G227" s="198"/>
      <c r="H227" s="198"/>
      <c r="I227" s="198"/>
      <c r="J227" s="198"/>
      <c r="K227" s="198"/>
      <c r="L227" s="198"/>
      <c r="M227" s="198"/>
      <c r="N227" s="198"/>
      <c r="O227" s="198"/>
      <c r="P227" s="198"/>
      <c r="Q227" s="198"/>
      <c r="R227" s="198"/>
      <c r="S227" s="198"/>
      <c r="T227" s="198"/>
      <c r="U227" s="198"/>
      <c r="V227" s="198"/>
      <c r="W227" s="198"/>
      <c r="X227" s="198"/>
      <c r="Y227" s="198"/>
      <c r="Z227" s="198"/>
      <c r="AA227" s="198"/>
      <c r="AB227" s="198"/>
      <c r="AC227" s="198"/>
      <c r="AD227" s="198"/>
      <c r="AE227" s="198"/>
      <c r="AF227" s="198"/>
      <c r="AG227" s="198"/>
      <c r="AH227" s="198"/>
      <c r="AI227" s="198"/>
      <c r="AJ227" s="198"/>
      <c r="AK227" s="198"/>
      <c r="AL227" s="198"/>
      <c r="AM227" s="198"/>
      <c r="AN227" s="198"/>
      <c r="AO227" s="198"/>
      <c r="AP227" s="198"/>
      <c r="AQ227" s="198"/>
      <c r="AR227" s="15">
        <f t="shared" si="6"/>
        <v>23</v>
      </c>
    </row>
    <row r="228" spans="1:44" ht="18.75" customHeight="1">
      <c r="A228" s="198"/>
      <c r="B228" s="198"/>
      <c r="C228" s="198"/>
      <c r="D228" s="198"/>
      <c r="E228" s="198"/>
      <c r="F228" s="198"/>
      <c r="G228" s="198"/>
      <c r="H228" s="198"/>
      <c r="I228" s="198"/>
      <c r="J228" s="198"/>
      <c r="K228" s="198"/>
      <c r="L228" s="198"/>
      <c r="M228" s="198"/>
      <c r="N228" s="198"/>
      <c r="O228" s="198"/>
      <c r="P228" s="198"/>
      <c r="Q228" s="198"/>
      <c r="R228" s="198"/>
      <c r="S228" s="198"/>
      <c r="T228" s="198"/>
      <c r="U228" s="198"/>
      <c r="V228" s="198"/>
      <c r="W228" s="198"/>
      <c r="X228" s="198"/>
      <c r="Y228" s="198"/>
      <c r="Z228" s="198"/>
      <c r="AA228" s="198"/>
      <c r="AB228" s="198"/>
      <c r="AC228" s="198"/>
      <c r="AD228" s="198"/>
      <c r="AE228" s="198"/>
      <c r="AF228" s="198"/>
      <c r="AG228" s="198"/>
      <c r="AH228" s="198"/>
      <c r="AI228" s="198"/>
      <c r="AJ228" s="198"/>
      <c r="AK228" s="198"/>
      <c r="AL228" s="198"/>
      <c r="AM228" s="198"/>
      <c r="AN228" s="198"/>
      <c r="AO228" s="198"/>
      <c r="AP228" s="198"/>
      <c r="AQ228" s="198"/>
      <c r="AR228" s="15">
        <f t="shared" si="6"/>
        <v>24</v>
      </c>
    </row>
    <row r="229" spans="1:44" ht="18.75" customHeight="1">
      <c r="A229" s="198"/>
      <c r="B229" s="198"/>
      <c r="C229" s="198"/>
      <c r="D229" s="198"/>
      <c r="E229" s="198"/>
      <c r="F229" s="198"/>
      <c r="G229" s="198"/>
      <c r="H229" s="198"/>
      <c r="I229" s="198"/>
      <c r="J229" s="198"/>
      <c r="K229" s="198"/>
      <c r="L229" s="198"/>
      <c r="M229" s="198"/>
      <c r="N229" s="198"/>
      <c r="O229" s="198"/>
      <c r="P229" s="198"/>
      <c r="Q229" s="198"/>
      <c r="R229" s="198"/>
      <c r="S229" s="198"/>
      <c r="T229" s="198"/>
      <c r="U229" s="198"/>
      <c r="V229" s="198"/>
      <c r="W229" s="198"/>
      <c r="X229" s="198"/>
      <c r="Y229" s="198"/>
      <c r="Z229" s="198"/>
      <c r="AA229" s="198"/>
      <c r="AB229" s="198"/>
      <c r="AC229" s="198"/>
      <c r="AD229" s="198"/>
      <c r="AE229" s="198"/>
      <c r="AF229" s="198"/>
      <c r="AG229" s="198"/>
      <c r="AH229" s="198"/>
      <c r="AI229" s="198"/>
      <c r="AJ229" s="198"/>
      <c r="AK229" s="198"/>
      <c r="AL229" s="198"/>
      <c r="AM229" s="198"/>
      <c r="AN229" s="198"/>
      <c r="AO229" s="198"/>
      <c r="AP229" s="198"/>
      <c r="AQ229" s="198"/>
      <c r="AR229" s="15">
        <f t="shared" si="6"/>
        <v>25</v>
      </c>
    </row>
    <row r="230" spans="1:44" ht="18.75" customHeight="1">
      <c r="A230" s="198"/>
      <c r="B230" s="198"/>
      <c r="C230" s="198"/>
      <c r="D230" s="198"/>
      <c r="E230" s="198"/>
      <c r="F230" s="198"/>
      <c r="G230" s="198"/>
      <c r="H230" s="198"/>
      <c r="I230" s="198"/>
      <c r="J230" s="198"/>
      <c r="K230" s="198"/>
      <c r="L230" s="198"/>
      <c r="M230" s="198"/>
      <c r="N230" s="198"/>
      <c r="O230" s="198"/>
      <c r="P230" s="198"/>
      <c r="Q230" s="198"/>
      <c r="R230" s="198"/>
      <c r="S230" s="198"/>
      <c r="T230" s="198"/>
      <c r="U230" s="198"/>
      <c r="V230" s="198"/>
      <c r="W230" s="198"/>
      <c r="X230" s="198"/>
      <c r="Y230" s="198"/>
      <c r="Z230" s="198"/>
      <c r="AA230" s="198"/>
      <c r="AB230" s="198"/>
      <c r="AC230" s="198"/>
      <c r="AD230" s="198"/>
      <c r="AE230" s="198"/>
      <c r="AF230" s="198"/>
      <c r="AG230" s="198"/>
      <c r="AH230" s="198"/>
      <c r="AI230" s="198"/>
      <c r="AJ230" s="198"/>
      <c r="AK230" s="198"/>
      <c r="AL230" s="198"/>
      <c r="AM230" s="198"/>
      <c r="AN230" s="198"/>
      <c r="AO230" s="198"/>
      <c r="AP230" s="198"/>
      <c r="AQ230" s="198"/>
      <c r="AR230" s="15">
        <f t="shared" si="6"/>
        <v>26</v>
      </c>
    </row>
    <row r="231" spans="1:44" ht="18.75" customHeight="1">
      <c r="A231" s="198"/>
      <c r="B231" s="198"/>
      <c r="C231" s="198"/>
      <c r="D231" s="198"/>
      <c r="E231" s="198"/>
      <c r="F231" s="198"/>
      <c r="G231" s="198"/>
      <c r="H231" s="198"/>
      <c r="I231" s="198"/>
      <c r="J231" s="198"/>
      <c r="K231" s="198"/>
      <c r="L231" s="198"/>
      <c r="M231" s="198"/>
      <c r="N231" s="198"/>
      <c r="O231" s="198"/>
      <c r="P231" s="198"/>
      <c r="Q231" s="198"/>
      <c r="R231" s="198"/>
      <c r="S231" s="198"/>
      <c r="T231" s="198"/>
      <c r="U231" s="198"/>
      <c r="V231" s="198"/>
      <c r="W231" s="198"/>
      <c r="X231" s="198"/>
      <c r="Y231" s="198"/>
      <c r="Z231" s="198"/>
      <c r="AA231" s="198"/>
      <c r="AB231" s="198"/>
      <c r="AC231" s="198"/>
      <c r="AD231" s="198"/>
      <c r="AE231" s="198"/>
      <c r="AF231" s="198"/>
      <c r="AG231" s="198"/>
      <c r="AH231" s="198"/>
      <c r="AI231" s="198"/>
      <c r="AJ231" s="198"/>
      <c r="AK231" s="198"/>
      <c r="AL231" s="198"/>
      <c r="AM231" s="198"/>
      <c r="AN231" s="198"/>
      <c r="AO231" s="198"/>
      <c r="AP231" s="198"/>
      <c r="AQ231" s="198"/>
      <c r="AR231" s="15">
        <f t="shared" si="6"/>
        <v>27</v>
      </c>
    </row>
    <row r="232" spans="1:44" ht="18.75" customHeight="1">
      <c r="A232" s="198"/>
      <c r="B232" s="198"/>
      <c r="C232" s="198"/>
      <c r="D232" s="198"/>
      <c r="E232" s="198"/>
      <c r="F232" s="198"/>
      <c r="G232" s="198"/>
      <c r="H232" s="198"/>
      <c r="I232" s="198"/>
      <c r="J232" s="198"/>
      <c r="K232" s="198"/>
      <c r="L232" s="198"/>
      <c r="M232" s="198"/>
      <c r="N232" s="198"/>
      <c r="O232" s="198"/>
      <c r="P232" s="198"/>
      <c r="Q232" s="198"/>
      <c r="R232" s="198"/>
      <c r="S232" s="198"/>
      <c r="T232" s="198"/>
      <c r="U232" s="198"/>
      <c r="V232" s="198"/>
      <c r="W232" s="198"/>
      <c r="X232" s="198"/>
      <c r="Y232" s="198"/>
      <c r="Z232" s="198"/>
      <c r="AA232" s="198"/>
      <c r="AB232" s="198"/>
      <c r="AC232" s="198"/>
      <c r="AD232" s="198"/>
      <c r="AE232" s="198"/>
      <c r="AF232" s="198"/>
      <c r="AG232" s="198"/>
      <c r="AH232" s="198"/>
      <c r="AI232" s="198"/>
      <c r="AJ232" s="198"/>
      <c r="AK232" s="198"/>
      <c r="AL232" s="198"/>
      <c r="AM232" s="198"/>
      <c r="AN232" s="198"/>
      <c r="AO232" s="198"/>
      <c r="AP232" s="198"/>
      <c r="AQ232" s="198"/>
      <c r="AR232" s="15">
        <f t="shared" si="6"/>
        <v>28</v>
      </c>
    </row>
    <row r="233" spans="1:44" ht="18.75" customHeight="1">
      <c r="A233" s="198"/>
      <c r="B233" s="198"/>
      <c r="C233" s="198"/>
      <c r="D233" s="198"/>
      <c r="E233" s="198"/>
      <c r="F233" s="198"/>
      <c r="G233" s="198"/>
      <c r="H233" s="198"/>
      <c r="I233" s="198"/>
      <c r="J233" s="198"/>
      <c r="K233" s="198"/>
      <c r="L233" s="198"/>
      <c r="M233" s="198"/>
      <c r="N233" s="198"/>
      <c r="O233" s="198"/>
      <c r="P233" s="198"/>
      <c r="Q233" s="198"/>
      <c r="R233" s="198"/>
      <c r="S233" s="198"/>
      <c r="T233" s="198"/>
      <c r="U233" s="198"/>
      <c r="V233" s="198"/>
      <c r="W233" s="198"/>
      <c r="X233" s="198"/>
      <c r="Y233" s="198"/>
      <c r="Z233" s="198"/>
      <c r="AA233" s="198"/>
      <c r="AB233" s="198"/>
      <c r="AC233" s="198"/>
      <c r="AD233" s="198"/>
      <c r="AE233" s="198"/>
      <c r="AF233" s="198"/>
      <c r="AG233" s="198"/>
      <c r="AH233" s="198"/>
      <c r="AI233" s="198"/>
      <c r="AJ233" s="198"/>
      <c r="AK233" s="198"/>
      <c r="AL233" s="198"/>
      <c r="AM233" s="198"/>
      <c r="AN233" s="198"/>
      <c r="AO233" s="198"/>
      <c r="AP233" s="198"/>
      <c r="AQ233" s="198"/>
      <c r="AR233" s="15">
        <f t="shared" si="6"/>
        <v>29</v>
      </c>
    </row>
    <row r="234" spans="1:44" ht="18.75" customHeight="1">
      <c r="A234" s="198"/>
      <c r="B234" s="198"/>
      <c r="C234" s="198"/>
      <c r="D234" s="198"/>
      <c r="E234" s="198"/>
      <c r="F234" s="198"/>
      <c r="G234" s="198"/>
      <c r="H234" s="198"/>
      <c r="I234" s="198"/>
      <c r="J234" s="198"/>
      <c r="K234" s="198"/>
      <c r="L234" s="198"/>
      <c r="M234" s="198"/>
      <c r="N234" s="198"/>
      <c r="O234" s="198"/>
      <c r="P234" s="198"/>
      <c r="Q234" s="198"/>
      <c r="R234" s="198"/>
      <c r="S234" s="198"/>
      <c r="T234" s="198"/>
      <c r="U234" s="198"/>
      <c r="V234" s="198"/>
      <c r="W234" s="198"/>
      <c r="X234" s="198"/>
      <c r="Y234" s="198"/>
      <c r="Z234" s="198"/>
      <c r="AA234" s="198"/>
      <c r="AB234" s="198"/>
      <c r="AC234" s="198"/>
      <c r="AD234" s="198"/>
      <c r="AE234" s="198"/>
      <c r="AF234" s="198"/>
      <c r="AG234" s="198"/>
      <c r="AH234" s="198"/>
      <c r="AI234" s="198"/>
      <c r="AJ234" s="198"/>
      <c r="AK234" s="198"/>
      <c r="AL234" s="198"/>
      <c r="AM234" s="198"/>
      <c r="AN234" s="198"/>
      <c r="AO234" s="198"/>
      <c r="AP234" s="198"/>
      <c r="AQ234" s="198"/>
      <c r="AR234" s="15">
        <f t="shared" si="6"/>
        <v>30</v>
      </c>
    </row>
    <row r="235" spans="1:44" ht="18.75" customHeight="1">
      <c r="A235" s="198"/>
      <c r="B235" s="198"/>
      <c r="C235" s="198"/>
      <c r="D235" s="198"/>
      <c r="E235" s="198"/>
      <c r="F235" s="198"/>
      <c r="G235" s="198"/>
      <c r="H235" s="198"/>
      <c r="I235" s="198"/>
      <c r="J235" s="198"/>
      <c r="K235" s="198"/>
      <c r="L235" s="198"/>
      <c r="M235" s="198"/>
      <c r="N235" s="198"/>
      <c r="O235" s="198"/>
      <c r="P235" s="198"/>
      <c r="Q235" s="198"/>
      <c r="R235" s="198"/>
      <c r="S235" s="198"/>
      <c r="T235" s="198"/>
      <c r="U235" s="198"/>
      <c r="V235" s="198"/>
      <c r="W235" s="198"/>
      <c r="X235" s="198"/>
      <c r="Y235" s="198"/>
      <c r="Z235" s="198"/>
      <c r="AA235" s="198"/>
      <c r="AB235" s="198"/>
      <c r="AC235" s="198"/>
      <c r="AD235" s="198"/>
      <c r="AE235" s="198"/>
      <c r="AF235" s="198"/>
      <c r="AG235" s="198"/>
      <c r="AH235" s="198"/>
      <c r="AI235" s="198"/>
      <c r="AJ235" s="198"/>
      <c r="AK235" s="198"/>
      <c r="AL235" s="198"/>
      <c r="AM235" s="198"/>
      <c r="AN235" s="198"/>
      <c r="AO235" s="198"/>
      <c r="AP235" s="198"/>
      <c r="AQ235" s="198"/>
      <c r="AR235" s="15">
        <f t="shared" si="6"/>
        <v>31</v>
      </c>
    </row>
    <row r="236" spans="1:44" ht="18.75" customHeight="1">
      <c r="A236" s="198"/>
      <c r="B236" s="198"/>
      <c r="C236" s="198"/>
      <c r="D236" s="198"/>
      <c r="E236" s="198"/>
      <c r="F236" s="198"/>
      <c r="G236" s="198"/>
      <c r="H236" s="198"/>
      <c r="I236" s="198"/>
      <c r="J236" s="198"/>
      <c r="K236" s="198"/>
      <c r="L236" s="198"/>
      <c r="M236" s="198"/>
      <c r="N236" s="198"/>
      <c r="O236" s="198"/>
      <c r="P236" s="198"/>
      <c r="Q236" s="198"/>
      <c r="R236" s="198"/>
      <c r="S236" s="198"/>
      <c r="T236" s="198"/>
      <c r="U236" s="198"/>
      <c r="V236" s="198"/>
      <c r="W236" s="198"/>
      <c r="X236" s="198"/>
      <c r="Y236" s="198"/>
      <c r="Z236" s="198"/>
      <c r="AA236" s="198"/>
      <c r="AB236" s="198"/>
      <c r="AC236" s="198"/>
      <c r="AD236" s="198"/>
      <c r="AE236" s="198"/>
      <c r="AF236" s="198"/>
      <c r="AG236" s="198"/>
      <c r="AH236" s="198"/>
      <c r="AI236" s="198"/>
      <c r="AJ236" s="198"/>
      <c r="AK236" s="198"/>
      <c r="AL236" s="198"/>
      <c r="AM236" s="198"/>
      <c r="AN236" s="198"/>
      <c r="AO236" s="198"/>
      <c r="AP236" s="198"/>
      <c r="AQ236" s="198"/>
      <c r="AR236" s="15">
        <f t="shared" si="6"/>
        <v>32</v>
      </c>
    </row>
    <row r="237" spans="1:44" ht="18.75" customHeight="1">
      <c r="A237" s="198"/>
      <c r="B237" s="198"/>
      <c r="C237" s="198"/>
      <c r="D237" s="198"/>
      <c r="E237" s="198"/>
      <c r="F237" s="198"/>
      <c r="G237" s="198"/>
      <c r="H237" s="198"/>
      <c r="I237" s="198"/>
      <c r="J237" s="198"/>
      <c r="K237" s="198"/>
      <c r="L237" s="198"/>
      <c r="M237" s="198"/>
      <c r="N237" s="198"/>
      <c r="O237" s="198"/>
      <c r="P237" s="198"/>
      <c r="Q237" s="198"/>
      <c r="R237" s="198"/>
      <c r="S237" s="198"/>
      <c r="T237" s="198"/>
      <c r="U237" s="198"/>
      <c r="V237" s="198"/>
      <c r="W237" s="198"/>
      <c r="X237" s="198"/>
      <c r="Y237" s="198"/>
      <c r="Z237" s="198"/>
      <c r="AA237" s="198"/>
      <c r="AB237" s="198"/>
      <c r="AC237" s="198"/>
      <c r="AD237" s="198"/>
      <c r="AE237" s="198"/>
      <c r="AF237" s="198"/>
      <c r="AG237" s="198"/>
      <c r="AH237" s="198"/>
      <c r="AI237" s="198"/>
      <c r="AJ237" s="198"/>
      <c r="AK237" s="198"/>
      <c r="AL237" s="198"/>
      <c r="AM237" s="198"/>
      <c r="AN237" s="198"/>
      <c r="AO237" s="198"/>
      <c r="AP237" s="198"/>
      <c r="AQ237" s="198"/>
      <c r="AR237" s="15">
        <f t="shared" si="6"/>
        <v>33</v>
      </c>
    </row>
    <row r="238" spans="1:44" ht="18.75" customHeight="1">
      <c r="A238" s="198"/>
      <c r="B238" s="198"/>
      <c r="C238" s="198"/>
      <c r="D238" s="198"/>
      <c r="E238" s="198"/>
      <c r="F238" s="198"/>
      <c r="G238" s="198"/>
      <c r="H238" s="198"/>
      <c r="I238" s="198"/>
      <c r="J238" s="198"/>
      <c r="K238" s="198"/>
      <c r="L238" s="198"/>
      <c r="M238" s="198"/>
      <c r="N238" s="198"/>
      <c r="O238" s="198"/>
      <c r="P238" s="198"/>
      <c r="Q238" s="198"/>
      <c r="R238" s="198"/>
      <c r="S238" s="198"/>
      <c r="T238" s="198"/>
      <c r="U238" s="198"/>
      <c r="V238" s="198"/>
      <c r="W238" s="198"/>
      <c r="X238" s="198"/>
      <c r="Y238" s="198"/>
      <c r="Z238" s="198"/>
      <c r="AA238" s="198"/>
      <c r="AB238" s="198"/>
      <c r="AC238" s="198"/>
      <c r="AD238" s="198"/>
      <c r="AE238" s="198"/>
      <c r="AF238" s="198"/>
      <c r="AG238" s="198"/>
      <c r="AH238" s="198"/>
      <c r="AI238" s="198"/>
      <c r="AJ238" s="198"/>
      <c r="AK238" s="198"/>
      <c r="AL238" s="198"/>
      <c r="AM238" s="198"/>
      <c r="AN238" s="198"/>
      <c r="AO238" s="198"/>
      <c r="AP238" s="198"/>
      <c r="AQ238" s="198"/>
      <c r="AR238" s="15">
        <f t="shared" si="6"/>
        <v>34</v>
      </c>
    </row>
    <row r="239" spans="1:44" ht="16.5" customHeight="1">
      <c r="A239" s="197"/>
      <c r="B239" s="197"/>
      <c r="AI239" s="200" t="str">
        <f>'1'!$AI$1</f>
        <v>R4健障障第100号</v>
      </c>
      <c r="AJ239" s="200"/>
      <c r="AK239" s="200"/>
      <c r="AL239" s="200"/>
      <c r="AM239" s="200"/>
      <c r="AN239" s="200"/>
      <c r="AO239" s="200"/>
      <c r="AP239" s="200"/>
      <c r="AQ239" s="200"/>
      <c r="AR239" s="15">
        <v>1</v>
      </c>
    </row>
    <row r="240" spans="1:44" ht="16.5" customHeight="1">
      <c r="A240" s="197"/>
      <c r="B240" s="197"/>
      <c r="AI240" s="201">
        <f>'1'!$AI$2</f>
        <v>44677</v>
      </c>
      <c r="AJ240" s="201"/>
      <c r="AK240" s="201"/>
      <c r="AL240" s="201"/>
      <c r="AM240" s="201"/>
      <c r="AN240" s="201"/>
      <c r="AO240" s="201"/>
      <c r="AP240" s="201"/>
      <c r="AQ240" s="201"/>
      <c r="AR240" s="15">
        <f>AR239+1</f>
        <v>2</v>
      </c>
    </row>
    <row r="241" spans="1:48" ht="18.75" customHeight="1">
      <c r="A241" s="198"/>
      <c r="B241" s="198"/>
      <c r="C241" s="198"/>
      <c r="D241" s="198"/>
      <c r="E241" s="198"/>
      <c r="F241" s="198"/>
      <c r="G241" s="198"/>
      <c r="H241" s="198"/>
      <c r="I241" s="198"/>
      <c r="J241" s="198"/>
      <c r="K241" s="198"/>
      <c r="L241" s="198"/>
      <c r="M241" s="198"/>
      <c r="N241" s="198"/>
      <c r="O241" s="198"/>
      <c r="P241" s="198"/>
      <c r="Q241" s="198"/>
      <c r="R241" s="198"/>
      <c r="S241" s="198"/>
      <c r="T241" s="198"/>
      <c r="U241" s="198"/>
      <c r="V241" s="198"/>
      <c r="W241" s="198"/>
      <c r="X241" s="198"/>
      <c r="Y241" s="198"/>
      <c r="Z241" s="198"/>
      <c r="AA241" s="198"/>
      <c r="AB241" s="198"/>
      <c r="AC241" s="198"/>
      <c r="AD241" s="198"/>
      <c r="AE241" s="198"/>
      <c r="AF241" s="198"/>
      <c r="AG241" s="198"/>
      <c r="AH241" s="198"/>
      <c r="AI241" s="198"/>
      <c r="AJ241" s="198"/>
      <c r="AK241" s="198"/>
      <c r="AL241" s="198"/>
      <c r="AM241" s="198"/>
      <c r="AN241" s="198"/>
      <c r="AO241" s="198"/>
      <c r="AP241" s="198"/>
      <c r="AQ241" s="198"/>
      <c r="AR241" s="15">
        <f t="shared" ref="AR241:AR272" si="7">AR240+1</f>
        <v>3</v>
      </c>
    </row>
    <row r="242" spans="1:48" ht="18.75" customHeight="1">
      <c r="A242" s="199" t="str">
        <f>INDEX(送付先一覧!A:O,MATCH(AV242,送付先一覧!A:A,0),4)</f>
        <v>社会福祉法人　つどいの家</v>
      </c>
      <c r="B242" s="199"/>
      <c r="C242" s="199"/>
      <c r="D242" s="199"/>
      <c r="E242" s="199"/>
      <c r="F242" s="199"/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/>
      <c r="S242" s="199"/>
      <c r="T242" s="199"/>
      <c r="U242" s="199"/>
      <c r="V242" s="199"/>
      <c r="W242" s="199"/>
      <c r="X242" s="199"/>
      <c r="Y242" s="199"/>
      <c r="Z242" s="199"/>
      <c r="AA242" s="199"/>
      <c r="AB242" s="199"/>
      <c r="AC242" s="199"/>
      <c r="AD242" s="199"/>
      <c r="AE242" s="199"/>
      <c r="AF242" s="199"/>
      <c r="AG242" s="199"/>
      <c r="AH242" s="199"/>
      <c r="AI242" s="199"/>
      <c r="AJ242" s="199"/>
      <c r="AK242" s="199"/>
      <c r="AL242" s="199"/>
      <c r="AM242" s="199"/>
      <c r="AN242" s="199"/>
      <c r="AO242" s="199"/>
      <c r="AP242" s="199"/>
      <c r="AQ242" s="199"/>
      <c r="AR242" s="15">
        <f t="shared" si="7"/>
        <v>4</v>
      </c>
      <c r="AV242" s="65">
        <f>AV208+1</f>
        <v>28</v>
      </c>
    </row>
    <row r="243" spans="1:48" ht="18.75" customHeight="1">
      <c r="A243" s="202" t="str">
        <f>INDEX(送付先一覧!A:O,MATCH(AV242,送付先一覧!A:A,0),5)</f>
        <v>理事長　佐藤　清</v>
      </c>
      <c r="B243" s="202"/>
      <c r="C243" s="202"/>
      <c r="D243" s="202"/>
      <c r="E243" s="202"/>
      <c r="F243" s="202"/>
      <c r="G243" s="202"/>
      <c r="H243" s="202"/>
      <c r="I243" s="202"/>
      <c r="J243" s="202"/>
      <c r="K243" s="202"/>
      <c r="L243" s="202"/>
      <c r="M243" s="202"/>
      <c r="N243" s="202"/>
      <c r="O243" s="202"/>
      <c r="P243" s="202"/>
      <c r="Q243" s="202"/>
      <c r="R243" s="202"/>
      <c r="S243" s="202"/>
      <c r="T243" s="202"/>
      <c r="U243" s="202"/>
      <c r="V243" s="202"/>
      <c r="W243" s="202"/>
      <c r="X243" s="202"/>
      <c r="Y243" s="202"/>
      <c r="Z243" s="202"/>
      <c r="AA243" s="202"/>
      <c r="AB243" s="202"/>
      <c r="AC243" s="202"/>
      <c r="AD243" s="202"/>
      <c r="AE243" s="202"/>
      <c r="AF243" s="202"/>
      <c r="AG243" s="202"/>
      <c r="AH243" s="202"/>
      <c r="AI243" s="202"/>
      <c r="AJ243" s="202"/>
      <c r="AK243" s="202"/>
      <c r="AL243" s="202"/>
      <c r="AM243" s="202"/>
      <c r="AN243" s="202"/>
      <c r="AO243" s="202"/>
      <c r="AP243" s="202"/>
      <c r="AQ243" s="202"/>
      <c r="AR243" s="15">
        <f t="shared" si="7"/>
        <v>5</v>
      </c>
    </row>
    <row r="244" spans="1:48" ht="18.75" customHeight="1">
      <c r="A244" s="198"/>
      <c r="B244" s="198"/>
      <c r="C244" s="198"/>
      <c r="D244" s="198"/>
      <c r="E244" s="198"/>
      <c r="F244" s="198"/>
      <c r="G244" s="198"/>
      <c r="H244" s="198"/>
      <c r="I244" s="198"/>
      <c r="J244" s="198"/>
      <c r="K244" s="198"/>
      <c r="L244" s="198"/>
      <c r="M244" s="198"/>
      <c r="N244" s="198"/>
      <c r="O244" s="198"/>
      <c r="P244" s="198"/>
      <c r="Q244" s="198"/>
      <c r="R244" s="198"/>
      <c r="S244" s="198"/>
      <c r="T244" s="198"/>
      <c r="U244" s="198"/>
      <c r="V244" s="198"/>
      <c r="W244" s="198"/>
      <c r="X244" s="198"/>
      <c r="Y244" s="198"/>
      <c r="Z244" s="198"/>
      <c r="AA244" s="198"/>
      <c r="AB244" s="198"/>
      <c r="AC244" s="198"/>
      <c r="AD244" s="198"/>
      <c r="AE244" s="198"/>
      <c r="AF244" s="198"/>
      <c r="AG244" s="198"/>
      <c r="AH244" s="198"/>
      <c r="AI244" s="198"/>
      <c r="AJ244" s="198"/>
      <c r="AK244" s="198"/>
      <c r="AL244" s="198"/>
      <c r="AM244" s="198"/>
      <c r="AN244" s="198"/>
      <c r="AO244" s="198"/>
      <c r="AP244" s="198"/>
      <c r="AQ244" s="198"/>
      <c r="AR244" s="15">
        <f t="shared" si="7"/>
        <v>6</v>
      </c>
    </row>
    <row r="245" spans="1:48" ht="18.75" customHeight="1">
      <c r="V245" s="199" t="str">
        <f>'1'!$V$7</f>
        <v>仙台市健康福祉局障害福祉部障害企画課長　　</v>
      </c>
      <c r="W245" s="199"/>
      <c r="X245" s="199"/>
      <c r="Y245" s="199"/>
      <c r="Z245" s="199"/>
      <c r="AA245" s="199"/>
      <c r="AB245" s="199"/>
      <c r="AC245" s="199"/>
      <c r="AD245" s="199"/>
      <c r="AE245" s="199"/>
      <c r="AF245" s="199"/>
      <c r="AG245" s="199"/>
      <c r="AH245" s="199"/>
      <c r="AI245" s="199"/>
      <c r="AJ245" s="199"/>
      <c r="AK245" s="199"/>
      <c r="AL245" s="199"/>
      <c r="AM245" s="199"/>
      <c r="AN245" s="199"/>
      <c r="AO245" s="199"/>
      <c r="AP245" s="199"/>
      <c r="AQ245" s="199"/>
      <c r="AR245" s="15">
        <f t="shared" si="7"/>
        <v>7</v>
      </c>
    </row>
    <row r="246" spans="1:48" ht="18.75" customHeight="1">
      <c r="V246" s="199" t="str">
        <f>'1'!$V$8</f>
        <v>仙台市健康福祉局障害福祉部障害者支援課長　</v>
      </c>
      <c r="W246" s="199"/>
      <c r="X246" s="199"/>
      <c r="Y246" s="199"/>
      <c r="Z246" s="199"/>
      <c r="AA246" s="199"/>
      <c r="AB246" s="199"/>
      <c r="AC246" s="199"/>
      <c r="AD246" s="199"/>
      <c r="AE246" s="199"/>
      <c r="AF246" s="199"/>
      <c r="AG246" s="199"/>
      <c r="AH246" s="199"/>
      <c r="AI246" s="199"/>
      <c r="AJ246" s="199"/>
      <c r="AK246" s="199"/>
      <c r="AL246" s="199"/>
      <c r="AM246" s="199"/>
      <c r="AN246" s="199"/>
      <c r="AO246" s="199"/>
      <c r="AP246" s="199"/>
      <c r="AQ246" s="199"/>
      <c r="AR246" s="15">
        <f t="shared" si="7"/>
        <v>8</v>
      </c>
    </row>
    <row r="247" spans="1:48" ht="18.75" customHeight="1">
      <c r="A247" s="198"/>
      <c r="B247" s="198"/>
      <c r="C247" s="198"/>
      <c r="D247" s="198"/>
      <c r="E247" s="198"/>
      <c r="F247" s="198"/>
      <c r="G247" s="198"/>
      <c r="H247" s="198"/>
      <c r="I247" s="198"/>
      <c r="J247" s="198"/>
      <c r="K247" s="198"/>
      <c r="L247" s="198"/>
      <c r="M247" s="198"/>
      <c r="N247" s="198"/>
      <c r="O247" s="198"/>
      <c r="P247" s="198"/>
      <c r="Q247" s="198"/>
      <c r="R247" s="198"/>
      <c r="S247" s="198"/>
      <c r="T247" s="198"/>
      <c r="U247" s="198"/>
      <c r="V247" s="198"/>
      <c r="W247" s="198"/>
      <c r="X247" s="198"/>
      <c r="Y247" s="198"/>
      <c r="Z247" s="198"/>
      <c r="AA247" s="198"/>
      <c r="AB247" s="198"/>
      <c r="AC247" s="198"/>
      <c r="AD247" s="198"/>
      <c r="AE247" s="198"/>
      <c r="AF247" s="198"/>
      <c r="AG247" s="198"/>
      <c r="AH247" s="198"/>
      <c r="AI247" s="198"/>
      <c r="AJ247" s="198"/>
      <c r="AK247" s="198"/>
      <c r="AL247" s="198"/>
      <c r="AM247" s="198"/>
      <c r="AN247" s="198"/>
      <c r="AO247" s="198"/>
      <c r="AP247" s="198"/>
      <c r="AQ247" s="198"/>
      <c r="AR247" s="15">
        <f t="shared" si="7"/>
        <v>9</v>
      </c>
    </row>
    <row r="248" spans="1:48" ht="22.5" customHeight="1">
      <c r="A248" s="203" t="str">
        <f>'1'!$A$10</f>
        <v>令和４年度仙台市障害福祉分野のICT導入モデル事業補助金の内示について</v>
      </c>
      <c r="B248" s="203"/>
      <c r="C248" s="203"/>
      <c r="D248" s="203"/>
      <c r="E248" s="203"/>
      <c r="F248" s="203"/>
      <c r="G248" s="203"/>
      <c r="H248" s="203"/>
      <c r="I248" s="203"/>
      <c r="J248" s="203"/>
      <c r="K248" s="203"/>
      <c r="L248" s="203"/>
      <c r="M248" s="203"/>
      <c r="N248" s="203"/>
      <c r="O248" s="203"/>
      <c r="P248" s="203"/>
      <c r="Q248" s="203"/>
      <c r="R248" s="203"/>
      <c r="S248" s="203"/>
      <c r="T248" s="203"/>
      <c r="U248" s="203"/>
      <c r="V248" s="203"/>
      <c r="W248" s="203"/>
      <c r="X248" s="203"/>
      <c r="Y248" s="203"/>
      <c r="Z248" s="203"/>
      <c r="AA248" s="203"/>
      <c r="AB248" s="203"/>
      <c r="AC248" s="203"/>
      <c r="AD248" s="203"/>
      <c r="AE248" s="203"/>
      <c r="AF248" s="203"/>
      <c r="AG248" s="203"/>
      <c r="AH248" s="203"/>
      <c r="AI248" s="203"/>
      <c r="AJ248" s="203"/>
      <c r="AK248" s="203"/>
      <c r="AL248" s="203"/>
      <c r="AM248" s="203"/>
      <c r="AN248" s="203"/>
      <c r="AO248" s="203"/>
      <c r="AP248" s="203"/>
      <c r="AQ248" s="203"/>
      <c r="AR248" s="15">
        <f t="shared" si="7"/>
        <v>10</v>
      </c>
    </row>
    <row r="249" spans="1:48" ht="18.75" customHeight="1">
      <c r="A249" s="198"/>
      <c r="B249" s="198"/>
      <c r="C249" s="198"/>
      <c r="D249" s="198"/>
      <c r="E249" s="198"/>
      <c r="F249" s="198"/>
      <c r="G249" s="198"/>
      <c r="H249" s="198"/>
      <c r="I249" s="198"/>
      <c r="J249" s="198"/>
      <c r="K249" s="198"/>
      <c r="L249" s="198"/>
      <c r="M249" s="198"/>
      <c r="N249" s="198"/>
      <c r="O249" s="198"/>
      <c r="P249" s="198"/>
      <c r="Q249" s="198"/>
      <c r="R249" s="198"/>
      <c r="S249" s="198"/>
      <c r="T249" s="198"/>
      <c r="U249" s="198"/>
      <c r="V249" s="198"/>
      <c r="W249" s="198"/>
      <c r="X249" s="198"/>
      <c r="Y249" s="198"/>
      <c r="Z249" s="198"/>
      <c r="AA249" s="198"/>
      <c r="AB249" s="198"/>
      <c r="AC249" s="198"/>
      <c r="AD249" s="198"/>
      <c r="AE249" s="198"/>
      <c r="AF249" s="198"/>
      <c r="AG249" s="198"/>
      <c r="AH249" s="198"/>
      <c r="AI249" s="198"/>
      <c r="AJ249" s="198"/>
      <c r="AK249" s="198"/>
      <c r="AL249" s="198"/>
      <c r="AM249" s="198"/>
      <c r="AN249" s="198"/>
      <c r="AO249" s="198"/>
      <c r="AP249" s="198"/>
      <c r="AQ249" s="198"/>
      <c r="AR249" s="15">
        <f t="shared" si="7"/>
        <v>11</v>
      </c>
    </row>
    <row r="250" spans="1:48" ht="93.75" customHeight="1">
      <c r="A250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250" s="205"/>
      <c r="C250" s="205"/>
      <c r="D250" s="205"/>
      <c r="E250" s="205"/>
      <c r="F250" s="205"/>
      <c r="G250" s="205"/>
      <c r="H250" s="205"/>
      <c r="I250" s="205"/>
      <c r="J250" s="205"/>
      <c r="K250" s="205"/>
      <c r="L250" s="205"/>
      <c r="M250" s="205"/>
      <c r="N250" s="205"/>
      <c r="O250" s="205"/>
      <c r="P250" s="205"/>
      <c r="Q250" s="205"/>
      <c r="R250" s="205"/>
      <c r="S250" s="205"/>
      <c r="T250" s="205"/>
      <c r="U250" s="205"/>
      <c r="V250" s="205"/>
      <c r="W250" s="205"/>
      <c r="X250" s="205"/>
      <c r="Y250" s="205"/>
      <c r="Z250" s="205"/>
      <c r="AA250" s="205"/>
      <c r="AB250" s="205"/>
      <c r="AC250" s="205"/>
      <c r="AD250" s="205"/>
      <c r="AE250" s="205"/>
      <c r="AF250" s="205"/>
      <c r="AG250" s="205"/>
      <c r="AH250" s="205"/>
      <c r="AI250" s="205"/>
      <c r="AJ250" s="205"/>
      <c r="AK250" s="205"/>
      <c r="AL250" s="205"/>
      <c r="AM250" s="205"/>
      <c r="AN250" s="205"/>
      <c r="AO250" s="205"/>
      <c r="AP250" s="205"/>
      <c r="AQ250" s="205"/>
      <c r="AR250" s="15">
        <f t="shared" si="7"/>
        <v>12</v>
      </c>
    </row>
    <row r="251" spans="1:48" ht="18.75" customHeight="1">
      <c r="A251" s="198"/>
      <c r="B251" s="198"/>
      <c r="C251" s="198"/>
      <c r="D251" s="198"/>
      <c r="E251" s="198"/>
      <c r="F251" s="198"/>
      <c r="G251" s="198"/>
      <c r="H251" s="198"/>
      <c r="I251" s="198"/>
      <c r="J251" s="198"/>
      <c r="K251" s="198"/>
      <c r="L251" s="198"/>
      <c r="M251" s="198"/>
      <c r="N251" s="198"/>
      <c r="O251" s="198"/>
      <c r="P251" s="198"/>
      <c r="Q251" s="198"/>
      <c r="R251" s="198"/>
      <c r="S251" s="198"/>
      <c r="T251" s="198"/>
      <c r="U251" s="198"/>
      <c r="V251" s="198"/>
      <c r="W251" s="198"/>
      <c r="X251" s="198"/>
      <c r="Y251" s="198"/>
      <c r="Z251" s="198"/>
      <c r="AA251" s="198"/>
      <c r="AB251" s="198"/>
      <c r="AC251" s="198"/>
      <c r="AD251" s="198"/>
      <c r="AE251" s="198"/>
      <c r="AF251" s="198"/>
      <c r="AG251" s="198"/>
      <c r="AH251" s="198"/>
      <c r="AI251" s="198"/>
      <c r="AJ251" s="198"/>
      <c r="AK251" s="198"/>
      <c r="AL251" s="198"/>
      <c r="AM251" s="198"/>
      <c r="AN251" s="198"/>
      <c r="AO251" s="198"/>
      <c r="AP251" s="198"/>
      <c r="AQ251" s="198"/>
      <c r="AR251" s="15">
        <f t="shared" si="7"/>
        <v>13</v>
      </c>
    </row>
    <row r="252" spans="1:48" ht="18.75" customHeight="1">
      <c r="A252" s="197" t="str">
        <f>'1'!$A$14</f>
        <v>記</v>
      </c>
      <c r="B252" s="197"/>
      <c r="C252" s="197"/>
      <c r="D252" s="197"/>
      <c r="E252" s="197"/>
      <c r="F252" s="197"/>
      <c r="G252" s="197"/>
      <c r="H252" s="197"/>
      <c r="I252" s="197"/>
      <c r="J252" s="197"/>
      <c r="K252" s="197"/>
      <c r="L252" s="197"/>
      <c r="M252" s="197"/>
      <c r="N252" s="197"/>
      <c r="O252" s="197"/>
      <c r="P252" s="197"/>
      <c r="Q252" s="197"/>
      <c r="R252" s="197"/>
      <c r="S252" s="197"/>
      <c r="T252" s="197"/>
      <c r="U252" s="197"/>
      <c r="V252" s="197"/>
      <c r="W252" s="197"/>
      <c r="X252" s="197"/>
      <c r="Y252" s="197"/>
      <c r="Z252" s="197"/>
      <c r="AA252" s="197"/>
      <c r="AB252" s="197"/>
      <c r="AC252" s="197"/>
      <c r="AD252" s="197"/>
      <c r="AE252" s="197"/>
      <c r="AF252" s="197"/>
      <c r="AG252" s="197"/>
      <c r="AH252" s="197"/>
      <c r="AI252" s="197"/>
      <c r="AJ252" s="197"/>
      <c r="AK252" s="197"/>
      <c r="AL252" s="197"/>
      <c r="AM252" s="197"/>
      <c r="AN252" s="197"/>
      <c r="AO252" s="197"/>
      <c r="AP252" s="197"/>
      <c r="AQ252" s="197"/>
      <c r="AR252" s="15">
        <f t="shared" si="7"/>
        <v>14</v>
      </c>
    </row>
    <row r="253" spans="1:48" ht="18.75" customHeight="1">
      <c r="A253" s="198"/>
      <c r="B253" s="198"/>
      <c r="C253" s="198"/>
      <c r="D253" s="198"/>
      <c r="E253" s="198"/>
      <c r="F253" s="198"/>
      <c r="G253" s="198"/>
      <c r="H253" s="198"/>
      <c r="I253" s="198"/>
      <c r="J253" s="198"/>
      <c r="K253" s="198"/>
      <c r="L253" s="198"/>
      <c r="M253" s="198"/>
      <c r="N253" s="198"/>
      <c r="O253" s="198"/>
      <c r="P253" s="198"/>
      <c r="Q253" s="198"/>
      <c r="R253" s="198"/>
      <c r="S253" s="198"/>
      <c r="T253" s="198"/>
      <c r="U253" s="198"/>
      <c r="V253" s="198"/>
      <c r="W253" s="198"/>
      <c r="X253" s="198"/>
      <c r="Y253" s="198"/>
      <c r="Z253" s="198"/>
      <c r="AA253" s="198"/>
      <c r="AB253" s="198"/>
      <c r="AC253" s="198"/>
      <c r="AD253" s="198"/>
      <c r="AE253" s="198"/>
      <c r="AF253" s="198"/>
      <c r="AG253" s="198"/>
      <c r="AH253" s="198"/>
      <c r="AI253" s="198"/>
      <c r="AJ253" s="198"/>
      <c r="AK253" s="198"/>
      <c r="AL253" s="198"/>
      <c r="AM253" s="198"/>
      <c r="AN253" s="198"/>
      <c r="AO253" s="198"/>
      <c r="AP253" s="198"/>
      <c r="AQ253" s="198"/>
      <c r="AR253" s="15">
        <f t="shared" si="7"/>
        <v>15</v>
      </c>
    </row>
    <row r="254" spans="1:48" ht="18.75" customHeight="1">
      <c r="I254" s="199" t="str">
        <f>'1'!$I$16</f>
        <v>補助内示額</v>
      </c>
      <c r="J254" s="199"/>
      <c r="K254" s="199"/>
      <c r="L254" s="199"/>
      <c r="M254" s="199"/>
      <c r="N254" s="199"/>
      <c r="S254" s="206">
        <f>INDEX(送付先一覧!A:O,MATCH(AV242,送付先一覧!A:A,0),12)</f>
        <v>637000</v>
      </c>
      <c r="T254" s="206"/>
      <c r="U254" s="206"/>
      <c r="V254" s="206"/>
      <c r="W254" s="206"/>
      <c r="X254" s="206"/>
      <c r="Y254" s="206"/>
      <c r="Z254" s="206"/>
      <c r="AA254" s="206"/>
      <c r="AB254" s="206"/>
      <c r="AC254" s="206"/>
      <c r="AD254" s="206"/>
      <c r="AE254" s="206"/>
      <c r="AF254" s="199"/>
      <c r="AG254" s="199"/>
      <c r="AH254" s="199"/>
      <c r="AI254" s="199"/>
      <c r="AR254" s="15">
        <f t="shared" si="7"/>
        <v>16</v>
      </c>
    </row>
    <row r="255" spans="1:48" ht="18.75" customHeight="1">
      <c r="I255" s="199" t="str">
        <f>'1'!$I$17</f>
        <v>事業種別</v>
      </c>
      <c r="J255" s="199"/>
      <c r="K255" s="199"/>
      <c r="L255" s="199"/>
      <c r="M255" s="199"/>
      <c r="N255" s="199"/>
      <c r="O255" s="199"/>
      <c r="P255" s="199"/>
      <c r="Q255" s="199"/>
      <c r="R255" s="199"/>
      <c r="S255" s="199" t="str">
        <f>INDEX(送付先一覧!A:O,MATCH(AV242,送付先一覧!A:A,0),9)</f>
        <v>生活介護</v>
      </c>
      <c r="T255" s="199"/>
      <c r="U255" s="199"/>
      <c r="V255" s="199"/>
      <c r="W255" s="199"/>
      <c r="X255" s="199"/>
      <c r="Y255" s="199"/>
      <c r="Z255" s="199"/>
      <c r="AA255" s="199"/>
      <c r="AB255" s="199"/>
      <c r="AC255" s="199"/>
      <c r="AD255" s="199"/>
      <c r="AE255" s="199"/>
      <c r="AF255" s="199"/>
      <c r="AG255" s="199"/>
      <c r="AH255" s="199"/>
      <c r="AI255" s="199"/>
      <c r="AJ255" s="199"/>
      <c r="AK255" s="199"/>
      <c r="AL255" s="199"/>
      <c r="AM255" s="199"/>
      <c r="AN255" s="199"/>
      <c r="AO255" s="199"/>
      <c r="AP255" s="199"/>
      <c r="AR255" s="15">
        <f t="shared" si="7"/>
        <v>17</v>
      </c>
    </row>
    <row r="256" spans="1:48" ht="18.75" customHeight="1">
      <c r="I256" s="199" t="str">
        <f>'1'!$I$18</f>
        <v>事業所名</v>
      </c>
      <c r="J256" s="199"/>
      <c r="K256" s="199"/>
      <c r="L256" s="199"/>
      <c r="M256" s="199"/>
      <c r="N256" s="199"/>
      <c r="O256" s="199"/>
      <c r="P256" s="199"/>
      <c r="Q256" s="199"/>
      <c r="R256" s="199"/>
      <c r="S256" s="204" t="str">
        <f>INDEX(送付先一覧!A:O,MATCH(AV242,送付先一覧!A:A,0),8)</f>
        <v>つどいの家・コペル</v>
      </c>
      <c r="T256" s="204"/>
      <c r="U256" s="204"/>
      <c r="V256" s="204"/>
      <c r="W256" s="204"/>
      <c r="X256" s="204"/>
      <c r="Y256" s="204"/>
      <c r="Z256" s="204"/>
      <c r="AA256" s="204"/>
      <c r="AB256" s="204"/>
      <c r="AC256" s="204"/>
      <c r="AD256" s="204"/>
      <c r="AE256" s="204"/>
      <c r="AF256" s="204"/>
      <c r="AG256" s="204"/>
      <c r="AH256" s="204"/>
      <c r="AI256" s="204"/>
      <c r="AJ256" s="204"/>
      <c r="AK256" s="204"/>
      <c r="AL256" s="204"/>
      <c r="AM256" s="204"/>
      <c r="AN256" s="204"/>
      <c r="AO256" s="204"/>
      <c r="AP256" s="204"/>
      <c r="AQ256" s="204"/>
      <c r="AR256" s="15">
        <f t="shared" si="7"/>
        <v>18</v>
      </c>
    </row>
    <row r="257" spans="1:44" ht="18.75" customHeight="1">
      <c r="I257" s="198"/>
      <c r="J257" s="198"/>
      <c r="K257" s="198"/>
      <c r="L257" s="198"/>
      <c r="M257" s="198"/>
      <c r="N257" s="198"/>
      <c r="O257" s="198"/>
      <c r="P257" s="198"/>
      <c r="Q257" s="198"/>
      <c r="R257" s="198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66"/>
      <c r="AN257" s="66"/>
      <c r="AO257" s="66"/>
      <c r="AP257" s="66"/>
      <c r="AQ257" s="66"/>
      <c r="AR257" s="15">
        <f t="shared" si="7"/>
        <v>19</v>
      </c>
    </row>
    <row r="258" spans="1:44" ht="18.75" customHeight="1">
      <c r="I258" s="198"/>
      <c r="J258" s="198"/>
      <c r="K258" s="198"/>
      <c r="L258" s="198"/>
      <c r="M258" s="198"/>
      <c r="N258" s="198"/>
      <c r="O258" s="198"/>
      <c r="P258" s="198"/>
      <c r="Q258" s="198"/>
      <c r="R258" s="198"/>
      <c r="S258" s="198"/>
      <c r="T258" s="198"/>
      <c r="U258" s="198"/>
      <c r="V258" s="198"/>
      <c r="W258" s="198"/>
      <c r="X258" s="198"/>
      <c r="Y258" s="198"/>
      <c r="Z258" s="198"/>
      <c r="AA258" s="198"/>
      <c r="AB258" s="198"/>
      <c r="AC258" s="198"/>
      <c r="AD258" s="198"/>
      <c r="AE258" s="198"/>
      <c r="AF258" s="198"/>
      <c r="AG258" s="198"/>
      <c r="AH258" s="198"/>
      <c r="AI258" s="198"/>
      <c r="AR258" s="15">
        <f t="shared" si="7"/>
        <v>20</v>
      </c>
    </row>
    <row r="259" spans="1:44" ht="18.75" customHeight="1">
      <c r="A259" s="198"/>
      <c r="B259" s="198"/>
      <c r="C259" s="198"/>
      <c r="D259" s="198"/>
      <c r="E259" s="198"/>
      <c r="F259" s="198"/>
      <c r="G259" s="198"/>
      <c r="H259" s="198"/>
      <c r="I259" s="198"/>
      <c r="J259" s="198"/>
      <c r="K259" s="198"/>
      <c r="L259" s="198"/>
      <c r="M259" s="198"/>
      <c r="N259" s="198"/>
      <c r="O259" s="198"/>
      <c r="P259" s="198"/>
      <c r="Q259" s="198"/>
      <c r="R259" s="198"/>
      <c r="S259" s="198"/>
      <c r="T259" s="198"/>
      <c r="U259" s="198"/>
      <c r="V259" s="198"/>
      <c r="W259" s="198"/>
      <c r="X259" s="198"/>
      <c r="Y259" s="198"/>
      <c r="Z259" s="198"/>
      <c r="AA259" s="198"/>
      <c r="AB259" s="198"/>
      <c r="AC259" s="198"/>
      <c r="AD259" s="198"/>
      <c r="AE259" s="198"/>
      <c r="AF259" s="198"/>
      <c r="AG259" s="198"/>
      <c r="AH259" s="198"/>
      <c r="AI259" s="198"/>
      <c r="AJ259" s="198"/>
      <c r="AK259" s="198"/>
      <c r="AL259" s="198"/>
      <c r="AM259" s="198"/>
      <c r="AN259" s="198"/>
      <c r="AO259" s="198"/>
      <c r="AP259" s="198"/>
      <c r="AQ259" s="198"/>
      <c r="AR259" s="15">
        <f t="shared" si="7"/>
        <v>21</v>
      </c>
    </row>
    <row r="260" spans="1:44" ht="18.75" customHeight="1">
      <c r="A260" s="198"/>
      <c r="B260" s="198"/>
      <c r="C260" s="198"/>
      <c r="D260" s="198"/>
      <c r="E260" s="198"/>
      <c r="F260" s="198"/>
      <c r="G260" s="198"/>
      <c r="H260" s="198"/>
      <c r="I260" s="198"/>
      <c r="J260" s="198"/>
      <c r="K260" s="198"/>
      <c r="L260" s="198"/>
      <c r="M260" s="198"/>
      <c r="N260" s="198"/>
      <c r="O260" s="198"/>
      <c r="P260" s="198"/>
      <c r="Q260" s="198"/>
      <c r="R260" s="198"/>
      <c r="S260" s="198"/>
      <c r="T260" s="198"/>
      <c r="U260" s="198"/>
      <c r="V260" s="198"/>
      <c r="W260" s="198"/>
      <c r="X260" s="198"/>
      <c r="Y260" s="198"/>
      <c r="Z260" s="198"/>
      <c r="AA260" s="198"/>
      <c r="AB260" s="198"/>
      <c r="AC260" s="198"/>
      <c r="AD260" s="198"/>
      <c r="AE260" s="198"/>
      <c r="AF260" s="198"/>
      <c r="AG260" s="198"/>
      <c r="AH260" s="198"/>
      <c r="AI260" s="198"/>
      <c r="AJ260" s="198"/>
      <c r="AK260" s="198"/>
      <c r="AL260" s="198"/>
      <c r="AM260" s="198"/>
      <c r="AN260" s="198"/>
      <c r="AO260" s="198"/>
      <c r="AP260" s="198"/>
      <c r="AQ260" s="198"/>
      <c r="AR260" s="15">
        <f t="shared" si="7"/>
        <v>22</v>
      </c>
    </row>
    <row r="261" spans="1:44" ht="18.75" customHeight="1">
      <c r="A261" s="198"/>
      <c r="B261" s="198"/>
      <c r="C261" s="198"/>
      <c r="D261" s="198"/>
      <c r="E261" s="198"/>
      <c r="F261" s="198"/>
      <c r="G261" s="198"/>
      <c r="H261" s="198"/>
      <c r="I261" s="198"/>
      <c r="J261" s="198"/>
      <c r="K261" s="198"/>
      <c r="L261" s="198"/>
      <c r="M261" s="198"/>
      <c r="N261" s="198"/>
      <c r="O261" s="198"/>
      <c r="P261" s="198"/>
      <c r="Q261" s="198"/>
      <c r="R261" s="198"/>
      <c r="S261" s="198"/>
      <c r="T261" s="198"/>
      <c r="U261" s="198"/>
      <c r="V261" s="198"/>
      <c r="W261" s="198"/>
      <c r="X261" s="198"/>
      <c r="Y261" s="198"/>
      <c r="Z261" s="198"/>
      <c r="AA261" s="198"/>
      <c r="AB261" s="198"/>
      <c r="AC261" s="198"/>
      <c r="AD261" s="198"/>
      <c r="AE261" s="198"/>
      <c r="AF261" s="198"/>
      <c r="AG261" s="198"/>
      <c r="AH261" s="198"/>
      <c r="AI261" s="198"/>
      <c r="AJ261" s="198"/>
      <c r="AK261" s="198"/>
      <c r="AL261" s="198"/>
      <c r="AM261" s="198"/>
      <c r="AN261" s="198"/>
      <c r="AO261" s="198"/>
      <c r="AP261" s="198"/>
      <c r="AQ261" s="198"/>
      <c r="AR261" s="15">
        <f t="shared" si="7"/>
        <v>23</v>
      </c>
    </row>
    <row r="262" spans="1:44" ht="18.75" customHeight="1">
      <c r="A262" s="198"/>
      <c r="B262" s="198"/>
      <c r="C262" s="198"/>
      <c r="D262" s="198"/>
      <c r="E262" s="198"/>
      <c r="F262" s="198"/>
      <c r="G262" s="198"/>
      <c r="H262" s="198"/>
      <c r="I262" s="198"/>
      <c r="J262" s="198"/>
      <c r="K262" s="198"/>
      <c r="L262" s="198"/>
      <c r="M262" s="198"/>
      <c r="N262" s="198"/>
      <c r="O262" s="198"/>
      <c r="P262" s="198"/>
      <c r="Q262" s="198"/>
      <c r="R262" s="198"/>
      <c r="S262" s="198"/>
      <c r="T262" s="198"/>
      <c r="U262" s="198"/>
      <c r="V262" s="198"/>
      <c r="W262" s="198"/>
      <c r="X262" s="198"/>
      <c r="Y262" s="198"/>
      <c r="Z262" s="198"/>
      <c r="AA262" s="198"/>
      <c r="AB262" s="198"/>
      <c r="AC262" s="198"/>
      <c r="AD262" s="198"/>
      <c r="AE262" s="198"/>
      <c r="AF262" s="198"/>
      <c r="AG262" s="198"/>
      <c r="AH262" s="198"/>
      <c r="AI262" s="198"/>
      <c r="AJ262" s="198"/>
      <c r="AK262" s="198"/>
      <c r="AL262" s="198"/>
      <c r="AM262" s="198"/>
      <c r="AN262" s="198"/>
      <c r="AO262" s="198"/>
      <c r="AP262" s="198"/>
      <c r="AQ262" s="198"/>
      <c r="AR262" s="15">
        <f t="shared" si="7"/>
        <v>24</v>
      </c>
    </row>
    <row r="263" spans="1:44" ht="18.75" customHeight="1">
      <c r="A263" s="198"/>
      <c r="B263" s="198"/>
      <c r="C263" s="198"/>
      <c r="D263" s="198"/>
      <c r="E263" s="198"/>
      <c r="F263" s="198"/>
      <c r="G263" s="198"/>
      <c r="H263" s="198"/>
      <c r="I263" s="198"/>
      <c r="J263" s="198"/>
      <c r="K263" s="198"/>
      <c r="L263" s="198"/>
      <c r="M263" s="198"/>
      <c r="N263" s="198"/>
      <c r="O263" s="198"/>
      <c r="P263" s="198"/>
      <c r="Q263" s="198"/>
      <c r="R263" s="198"/>
      <c r="S263" s="198"/>
      <c r="T263" s="198"/>
      <c r="U263" s="198"/>
      <c r="V263" s="198"/>
      <c r="W263" s="198"/>
      <c r="X263" s="198"/>
      <c r="Y263" s="198"/>
      <c r="Z263" s="198"/>
      <c r="AA263" s="198"/>
      <c r="AB263" s="198"/>
      <c r="AC263" s="198"/>
      <c r="AD263" s="198"/>
      <c r="AE263" s="198"/>
      <c r="AF263" s="198"/>
      <c r="AG263" s="198"/>
      <c r="AH263" s="198"/>
      <c r="AI263" s="198"/>
      <c r="AJ263" s="198"/>
      <c r="AK263" s="198"/>
      <c r="AL263" s="198"/>
      <c r="AM263" s="198"/>
      <c r="AN263" s="198"/>
      <c r="AO263" s="198"/>
      <c r="AP263" s="198"/>
      <c r="AQ263" s="198"/>
      <c r="AR263" s="15">
        <f t="shared" si="7"/>
        <v>25</v>
      </c>
    </row>
    <row r="264" spans="1:44" ht="18.75" customHeight="1">
      <c r="A264" s="198"/>
      <c r="B264" s="198"/>
      <c r="C264" s="198"/>
      <c r="D264" s="198"/>
      <c r="E264" s="198"/>
      <c r="F264" s="198"/>
      <c r="G264" s="198"/>
      <c r="H264" s="198"/>
      <c r="I264" s="198"/>
      <c r="J264" s="198"/>
      <c r="K264" s="198"/>
      <c r="L264" s="198"/>
      <c r="M264" s="198"/>
      <c r="N264" s="198"/>
      <c r="O264" s="198"/>
      <c r="P264" s="198"/>
      <c r="Q264" s="198"/>
      <c r="R264" s="198"/>
      <c r="S264" s="198"/>
      <c r="T264" s="198"/>
      <c r="U264" s="198"/>
      <c r="V264" s="198"/>
      <c r="W264" s="198"/>
      <c r="X264" s="198"/>
      <c r="Y264" s="198"/>
      <c r="Z264" s="198"/>
      <c r="AA264" s="198"/>
      <c r="AB264" s="198"/>
      <c r="AC264" s="198"/>
      <c r="AD264" s="198"/>
      <c r="AE264" s="198"/>
      <c r="AF264" s="198"/>
      <c r="AG264" s="198"/>
      <c r="AH264" s="198"/>
      <c r="AI264" s="198"/>
      <c r="AJ264" s="198"/>
      <c r="AK264" s="198"/>
      <c r="AL264" s="198"/>
      <c r="AM264" s="198"/>
      <c r="AN264" s="198"/>
      <c r="AO264" s="198"/>
      <c r="AP264" s="198"/>
      <c r="AQ264" s="198"/>
      <c r="AR264" s="15">
        <f t="shared" si="7"/>
        <v>26</v>
      </c>
    </row>
    <row r="265" spans="1:44" ht="18.75" customHeight="1">
      <c r="A265" s="198"/>
      <c r="B265" s="198"/>
      <c r="C265" s="198"/>
      <c r="D265" s="198"/>
      <c r="E265" s="198"/>
      <c r="F265" s="198"/>
      <c r="G265" s="198"/>
      <c r="H265" s="198"/>
      <c r="I265" s="198"/>
      <c r="J265" s="198"/>
      <c r="K265" s="198"/>
      <c r="L265" s="198"/>
      <c r="M265" s="198"/>
      <c r="N265" s="198"/>
      <c r="O265" s="198"/>
      <c r="P265" s="198"/>
      <c r="Q265" s="198"/>
      <c r="R265" s="198"/>
      <c r="S265" s="198"/>
      <c r="T265" s="198"/>
      <c r="U265" s="198"/>
      <c r="V265" s="198"/>
      <c r="W265" s="198"/>
      <c r="X265" s="198"/>
      <c r="Y265" s="198"/>
      <c r="Z265" s="198"/>
      <c r="AA265" s="198"/>
      <c r="AB265" s="198"/>
      <c r="AC265" s="198"/>
      <c r="AD265" s="198"/>
      <c r="AE265" s="198"/>
      <c r="AF265" s="198"/>
      <c r="AG265" s="198"/>
      <c r="AH265" s="198"/>
      <c r="AI265" s="198"/>
      <c r="AJ265" s="198"/>
      <c r="AK265" s="198"/>
      <c r="AL265" s="198"/>
      <c r="AM265" s="198"/>
      <c r="AN265" s="198"/>
      <c r="AO265" s="198"/>
      <c r="AP265" s="198"/>
      <c r="AQ265" s="198"/>
      <c r="AR265" s="15">
        <f t="shared" si="7"/>
        <v>27</v>
      </c>
    </row>
    <row r="266" spans="1:44" ht="18.75" customHeight="1">
      <c r="A266" s="198"/>
      <c r="B266" s="198"/>
      <c r="C266" s="198"/>
      <c r="D266" s="198"/>
      <c r="E266" s="198"/>
      <c r="F266" s="198"/>
      <c r="G266" s="198"/>
      <c r="H266" s="198"/>
      <c r="I266" s="198"/>
      <c r="J266" s="198"/>
      <c r="K266" s="198"/>
      <c r="L266" s="198"/>
      <c r="M266" s="198"/>
      <c r="N266" s="198"/>
      <c r="O266" s="198"/>
      <c r="P266" s="198"/>
      <c r="Q266" s="198"/>
      <c r="R266" s="198"/>
      <c r="S266" s="198"/>
      <c r="T266" s="198"/>
      <c r="U266" s="198"/>
      <c r="V266" s="198"/>
      <c r="W266" s="198"/>
      <c r="X266" s="198"/>
      <c r="Y266" s="198"/>
      <c r="Z266" s="198"/>
      <c r="AA266" s="198"/>
      <c r="AB266" s="198"/>
      <c r="AC266" s="198"/>
      <c r="AD266" s="198"/>
      <c r="AE266" s="198"/>
      <c r="AF266" s="198"/>
      <c r="AG266" s="198"/>
      <c r="AH266" s="198"/>
      <c r="AI266" s="198"/>
      <c r="AJ266" s="198"/>
      <c r="AK266" s="198"/>
      <c r="AL266" s="198"/>
      <c r="AM266" s="198"/>
      <c r="AN266" s="198"/>
      <c r="AO266" s="198"/>
      <c r="AP266" s="198"/>
      <c r="AQ266" s="198"/>
      <c r="AR266" s="15">
        <f t="shared" si="7"/>
        <v>28</v>
      </c>
    </row>
    <row r="267" spans="1:44" ht="18.75" customHeight="1">
      <c r="A267" s="198"/>
      <c r="B267" s="198"/>
      <c r="C267" s="198"/>
      <c r="D267" s="198"/>
      <c r="E267" s="198"/>
      <c r="F267" s="198"/>
      <c r="G267" s="198"/>
      <c r="H267" s="198"/>
      <c r="I267" s="198"/>
      <c r="J267" s="198"/>
      <c r="K267" s="198"/>
      <c r="L267" s="198"/>
      <c r="M267" s="198"/>
      <c r="N267" s="198"/>
      <c r="O267" s="198"/>
      <c r="P267" s="198"/>
      <c r="Q267" s="198"/>
      <c r="R267" s="198"/>
      <c r="S267" s="198"/>
      <c r="T267" s="198"/>
      <c r="U267" s="198"/>
      <c r="V267" s="198"/>
      <c r="W267" s="198"/>
      <c r="X267" s="198"/>
      <c r="Y267" s="198"/>
      <c r="Z267" s="198"/>
      <c r="AA267" s="198"/>
      <c r="AB267" s="198"/>
      <c r="AC267" s="198"/>
      <c r="AD267" s="198"/>
      <c r="AE267" s="198"/>
      <c r="AF267" s="198"/>
      <c r="AG267" s="198"/>
      <c r="AH267" s="198"/>
      <c r="AI267" s="198"/>
      <c r="AJ267" s="198"/>
      <c r="AK267" s="198"/>
      <c r="AL267" s="198"/>
      <c r="AM267" s="198"/>
      <c r="AN267" s="198"/>
      <c r="AO267" s="198"/>
      <c r="AP267" s="198"/>
      <c r="AQ267" s="198"/>
      <c r="AR267" s="15">
        <f t="shared" si="7"/>
        <v>29</v>
      </c>
    </row>
    <row r="268" spans="1:44" ht="18.75" customHeight="1">
      <c r="A268" s="198"/>
      <c r="B268" s="198"/>
      <c r="C268" s="198"/>
      <c r="D268" s="198"/>
      <c r="E268" s="198"/>
      <c r="F268" s="198"/>
      <c r="G268" s="198"/>
      <c r="H268" s="198"/>
      <c r="I268" s="198"/>
      <c r="J268" s="198"/>
      <c r="K268" s="198"/>
      <c r="L268" s="198"/>
      <c r="M268" s="198"/>
      <c r="N268" s="198"/>
      <c r="O268" s="198"/>
      <c r="P268" s="198"/>
      <c r="Q268" s="198"/>
      <c r="R268" s="198"/>
      <c r="S268" s="198"/>
      <c r="T268" s="198"/>
      <c r="U268" s="198"/>
      <c r="V268" s="198"/>
      <c r="W268" s="198"/>
      <c r="X268" s="198"/>
      <c r="Y268" s="198"/>
      <c r="Z268" s="198"/>
      <c r="AA268" s="198"/>
      <c r="AB268" s="198"/>
      <c r="AC268" s="198"/>
      <c r="AD268" s="198"/>
      <c r="AE268" s="198"/>
      <c r="AF268" s="198"/>
      <c r="AG268" s="198"/>
      <c r="AH268" s="198"/>
      <c r="AI268" s="198"/>
      <c r="AJ268" s="198"/>
      <c r="AK268" s="198"/>
      <c r="AL268" s="198"/>
      <c r="AM268" s="198"/>
      <c r="AN268" s="198"/>
      <c r="AO268" s="198"/>
      <c r="AP268" s="198"/>
      <c r="AQ268" s="198"/>
      <c r="AR268" s="15">
        <f t="shared" si="7"/>
        <v>30</v>
      </c>
    </row>
    <row r="269" spans="1:44" ht="18.75" customHeight="1">
      <c r="A269" s="198"/>
      <c r="B269" s="198"/>
      <c r="C269" s="198"/>
      <c r="D269" s="198"/>
      <c r="E269" s="198"/>
      <c r="F269" s="198"/>
      <c r="G269" s="198"/>
      <c r="H269" s="198"/>
      <c r="I269" s="198"/>
      <c r="J269" s="198"/>
      <c r="K269" s="198"/>
      <c r="L269" s="198"/>
      <c r="M269" s="198"/>
      <c r="N269" s="198"/>
      <c r="O269" s="198"/>
      <c r="P269" s="198"/>
      <c r="Q269" s="198"/>
      <c r="R269" s="198"/>
      <c r="S269" s="198"/>
      <c r="T269" s="198"/>
      <c r="U269" s="198"/>
      <c r="V269" s="198"/>
      <c r="W269" s="198"/>
      <c r="X269" s="198"/>
      <c r="Y269" s="198"/>
      <c r="Z269" s="198"/>
      <c r="AA269" s="198"/>
      <c r="AB269" s="198"/>
      <c r="AC269" s="198"/>
      <c r="AD269" s="198"/>
      <c r="AE269" s="198"/>
      <c r="AF269" s="198"/>
      <c r="AG269" s="198"/>
      <c r="AH269" s="198"/>
      <c r="AI269" s="198"/>
      <c r="AJ269" s="198"/>
      <c r="AK269" s="198"/>
      <c r="AL269" s="198"/>
      <c r="AM269" s="198"/>
      <c r="AN269" s="198"/>
      <c r="AO269" s="198"/>
      <c r="AP269" s="198"/>
      <c r="AQ269" s="198"/>
      <c r="AR269" s="15">
        <f t="shared" si="7"/>
        <v>31</v>
      </c>
    </row>
    <row r="270" spans="1:44" ht="18.75" customHeight="1">
      <c r="A270" s="198"/>
      <c r="B270" s="198"/>
      <c r="C270" s="198"/>
      <c r="D270" s="198"/>
      <c r="E270" s="198"/>
      <c r="F270" s="198"/>
      <c r="G270" s="198"/>
      <c r="H270" s="198"/>
      <c r="I270" s="198"/>
      <c r="J270" s="198"/>
      <c r="K270" s="198"/>
      <c r="L270" s="198"/>
      <c r="M270" s="198"/>
      <c r="N270" s="198"/>
      <c r="O270" s="198"/>
      <c r="P270" s="198"/>
      <c r="Q270" s="198"/>
      <c r="R270" s="198"/>
      <c r="S270" s="198"/>
      <c r="T270" s="198"/>
      <c r="U270" s="198"/>
      <c r="V270" s="198"/>
      <c r="W270" s="198"/>
      <c r="X270" s="198"/>
      <c r="Y270" s="198"/>
      <c r="Z270" s="198"/>
      <c r="AA270" s="198"/>
      <c r="AB270" s="198"/>
      <c r="AC270" s="198"/>
      <c r="AD270" s="198"/>
      <c r="AE270" s="198"/>
      <c r="AF270" s="198"/>
      <c r="AG270" s="198"/>
      <c r="AH270" s="198"/>
      <c r="AI270" s="198"/>
      <c r="AJ270" s="198"/>
      <c r="AK270" s="198"/>
      <c r="AL270" s="198"/>
      <c r="AM270" s="198"/>
      <c r="AN270" s="198"/>
      <c r="AO270" s="198"/>
      <c r="AP270" s="198"/>
      <c r="AQ270" s="198"/>
      <c r="AR270" s="15">
        <f t="shared" si="7"/>
        <v>32</v>
      </c>
    </row>
    <row r="271" spans="1:44" ht="18.75" customHeight="1">
      <c r="A271" s="198"/>
      <c r="B271" s="198"/>
      <c r="C271" s="198"/>
      <c r="D271" s="198"/>
      <c r="E271" s="198"/>
      <c r="F271" s="198"/>
      <c r="G271" s="198"/>
      <c r="H271" s="198"/>
      <c r="I271" s="198"/>
      <c r="J271" s="198"/>
      <c r="K271" s="198"/>
      <c r="L271" s="198"/>
      <c r="M271" s="198"/>
      <c r="N271" s="198"/>
      <c r="O271" s="198"/>
      <c r="P271" s="198"/>
      <c r="Q271" s="198"/>
      <c r="R271" s="198"/>
      <c r="S271" s="198"/>
      <c r="T271" s="198"/>
      <c r="U271" s="198"/>
      <c r="V271" s="198"/>
      <c r="W271" s="198"/>
      <c r="X271" s="198"/>
      <c r="Y271" s="198"/>
      <c r="Z271" s="198"/>
      <c r="AA271" s="198"/>
      <c r="AB271" s="198"/>
      <c r="AC271" s="198"/>
      <c r="AD271" s="198"/>
      <c r="AE271" s="198"/>
      <c r="AF271" s="198"/>
      <c r="AG271" s="198"/>
      <c r="AH271" s="198"/>
      <c r="AI271" s="198"/>
      <c r="AJ271" s="198"/>
      <c r="AK271" s="198"/>
      <c r="AL271" s="198"/>
      <c r="AM271" s="198"/>
      <c r="AN271" s="198"/>
      <c r="AO271" s="198"/>
      <c r="AP271" s="198"/>
      <c r="AQ271" s="198"/>
      <c r="AR271" s="15">
        <f t="shared" si="7"/>
        <v>33</v>
      </c>
    </row>
    <row r="272" spans="1:44" ht="18.75" customHeight="1">
      <c r="A272" s="198"/>
      <c r="B272" s="198"/>
      <c r="C272" s="198"/>
      <c r="D272" s="198"/>
      <c r="E272" s="198"/>
      <c r="F272" s="198"/>
      <c r="G272" s="198"/>
      <c r="H272" s="198"/>
      <c r="I272" s="198"/>
      <c r="J272" s="198"/>
      <c r="K272" s="198"/>
      <c r="L272" s="198"/>
      <c r="M272" s="198"/>
      <c r="N272" s="198"/>
      <c r="O272" s="198"/>
      <c r="P272" s="198"/>
      <c r="Q272" s="198"/>
      <c r="R272" s="198"/>
      <c r="S272" s="198"/>
      <c r="T272" s="198"/>
      <c r="U272" s="198"/>
      <c r="V272" s="198"/>
      <c r="W272" s="198"/>
      <c r="X272" s="198"/>
      <c r="Y272" s="198"/>
      <c r="Z272" s="198"/>
      <c r="AA272" s="198"/>
      <c r="AB272" s="198"/>
      <c r="AC272" s="198"/>
      <c r="AD272" s="198"/>
      <c r="AE272" s="198"/>
      <c r="AF272" s="198"/>
      <c r="AG272" s="198"/>
      <c r="AH272" s="198"/>
      <c r="AI272" s="198"/>
      <c r="AJ272" s="198"/>
      <c r="AK272" s="198"/>
      <c r="AL272" s="198"/>
      <c r="AM272" s="198"/>
      <c r="AN272" s="198"/>
      <c r="AO272" s="198"/>
      <c r="AP272" s="198"/>
      <c r="AQ272" s="198"/>
      <c r="AR272" s="15">
        <f t="shared" si="7"/>
        <v>34</v>
      </c>
    </row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</sheetData>
  <sheetProtection formatCells="0" selectLockedCells="1"/>
  <mergeCells count="344">
    <mergeCell ref="A268:AQ268"/>
    <mergeCell ref="A269:AQ269"/>
    <mergeCell ref="A270:AQ270"/>
    <mergeCell ref="A271:AQ271"/>
    <mergeCell ref="A272:AQ272"/>
    <mergeCell ref="A262:AQ262"/>
    <mergeCell ref="A263:AQ263"/>
    <mergeCell ref="A264:AQ264"/>
    <mergeCell ref="A265:AQ265"/>
    <mergeCell ref="A266:AQ266"/>
    <mergeCell ref="A267:AQ267"/>
    <mergeCell ref="I257:R257"/>
    <mergeCell ref="I258:R258"/>
    <mergeCell ref="S258:AI258"/>
    <mergeCell ref="A259:AQ259"/>
    <mergeCell ref="A260:AQ260"/>
    <mergeCell ref="A261:AQ261"/>
    <mergeCell ref="I255:N255"/>
    <mergeCell ref="O255:R255"/>
    <mergeCell ref="S255:AP255"/>
    <mergeCell ref="I256:N256"/>
    <mergeCell ref="O256:R256"/>
    <mergeCell ref="S256:AQ256"/>
    <mergeCell ref="A251:AQ251"/>
    <mergeCell ref="A252:AQ252"/>
    <mergeCell ref="A253:AQ253"/>
    <mergeCell ref="I254:N254"/>
    <mergeCell ref="S254:AE254"/>
    <mergeCell ref="AF254:AI254"/>
    <mergeCell ref="V245:AQ245"/>
    <mergeCell ref="V246:AQ246"/>
    <mergeCell ref="A247:AQ247"/>
    <mergeCell ref="A248:AQ248"/>
    <mergeCell ref="A249:AQ249"/>
    <mergeCell ref="A250:AQ250"/>
    <mergeCell ref="A240:B240"/>
    <mergeCell ref="AI240:AQ240"/>
    <mergeCell ref="A241:AQ241"/>
    <mergeCell ref="A242:AQ242"/>
    <mergeCell ref="A243:AQ243"/>
    <mergeCell ref="A244:AQ244"/>
    <mergeCell ref="A234:AQ234"/>
    <mergeCell ref="A235:AQ235"/>
    <mergeCell ref="A236:AQ236"/>
    <mergeCell ref="A237:AQ237"/>
    <mergeCell ref="A238:AQ238"/>
    <mergeCell ref="A239:B239"/>
    <mergeCell ref="AI239:AQ239"/>
    <mergeCell ref="A228:AQ228"/>
    <mergeCell ref="A229:AQ229"/>
    <mergeCell ref="A230:AQ230"/>
    <mergeCell ref="A231:AQ231"/>
    <mergeCell ref="A232:AQ232"/>
    <mergeCell ref="A233:AQ233"/>
    <mergeCell ref="I223:R223"/>
    <mergeCell ref="I224:R224"/>
    <mergeCell ref="S224:AI224"/>
    <mergeCell ref="A225:AQ225"/>
    <mergeCell ref="A226:AQ226"/>
    <mergeCell ref="A227:AQ227"/>
    <mergeCell ref="I221:N221"/>
    <mergeCell ref="O221:R221"/>
    <mergeCell ref="S221:AP221"/>
    <mergeCell ref="I222:N222"/>
    <mergeCell ref="O222:R222"/>
    <mergeCell ref="S222:AQ222"/>
    <mergeCell ref="A217:AQ217"/>
    <mergeCell ref="A218:AQ218"/>
    <mergeCell ref="A219:AQ219"/>
    <mergeCell ref="I220:N220"/>
    <mergeCell ref="S220:AE220"/>
    <mergeCell ref="AF220:AI220"/>
    <mergeCell ref="V211:AQ211"/>
    <mergeCell ref="V212:AQ212"/>
    <mergeCell ref="A213:AQ213"/>
    <mergeCell ref="A214:AQ214"/>
    <mergeCell ref="A215:AQ215"/>
    <mergeCell ref="A216:AQ216"/>
    <mergeCell ref="A206:B206"/>
    <mergeCell ref="AI206:AQ206"/>
    <mergeCell ref="A207:AQ207"/>
    <mergeCell ref="A208:AQ208"/>
    <mergeCell ref="A209:AQ209"/>
    <mergeCell ref="A210:AQ210"/>
    <mergeCell ref="A200:AQ200"/>
    <mergeCell ref="A201:AQ201"/>
    <mergeCell ref="A202:AQ202"/>
    <mergeCell ref="A203:AQ203"/>
    <mergeCell ref="A204:AQ204"/>
    <mergeCell ref="A205:B205"/>
    <mergeCell ref="AI205:AQ205"/>
    <mergeCell ref="A194:AQ194"/>
    <mergeCell ref="A195:AQ195"/>
    <mergeCell ref="A196:AQ196"/>
    <mergeCell ref="A197:AQ197"/>
    <mergeCell ref="A198:AQ198"/>
    <mergeCell ref="A199:AQ199"/>
    <mergeCell ref="I189:R189"/>
    <mergeCell ref="I190:R190"/>
    <mergeCell ref="S190:AI190"/>
    <mergeCell ref="A191:AQ191"/>
    <mergeCell ref="A192:AQ192"/>
    <mergeCell ref="A193:AQ193"/>
    <mergeCell ref="I187:N187"/>
    <mergeCell ref="O187:R187"/>
    <mergeCell ref="S187:AP187"/>
    <mergeCell ref="I188:N188"/>
    <mergeCell ref="O188:R188"/>
    <mergeCell ref="S188:AQ188"/>
    <mergeCell ref="A183:AQ183"/>
    <mergeCell ref="A184:AQ184"/>
    <mergeCell ref="A185:AQ185"/>
    <mergeCell ref="I186:N186"/>
    <mergeCell ref="S186:AE186"/>
    <mergeCell ref="AF186:AI186"/>
    <mergeCell ref="V177:AQ177"/>
    <mergeCell ref="V178:AQ178"/>
    <mergeCell ref="A179:AQ179"/>
    <mergeCell ref="A180:AQ180"/>
    <mergeCell ref="A181:AQ181"/>
    <mergeCell ref="A182:AQ182"/>
    <mergeCell ref="A172:B172"/>
    <mergeCell ref="AI172:AQ172"/>
    <mergeCell ref="A173:AQ173"/>
    <mergeCell ref="A174:AQ174"/>
    <mergeCell ref="A175:AQ175"/>
    <mergeCell ref="A176:AQ176"/>
    <mergeCell ref="A166:AQ166"/>
    <mergeCell ref="A167:AQ167"/>
    <mergeCell ref="A168:AQ168"/>
    <mergeCell ref="A169:AQ169"/>
    <mergeCell ref="A170:AQ170"/>
    <mergeCell ref="A171:B171"/>
    <mergeCell ref="AI171:AQ171"/>
    <mergeCell ref="A160:AQ160"/>
    <mergeCell ref="A161:AQ161"/>
    <mergeCell ref="A162:AQ162"/>
    <mergeCell ref="A163:AQ163"/>
    <mergeCell ref="A164:AQ164"/>
    <mergeCell ref="A165:AQ165"/>
    <mergeCell ref="I155:R155"/>
    <mergeCell ref="I156:R156"/>
    <mergeCell ref="S156:AI156"/>
    <mergeCell ref="A157:AQ157"/>
    <mergeCell ref="A158:AQ158"/>
    <mergeCell ref="A159:AQ159"/>
    <mergeCell ref="I153:N153"/>
    <mergeCell ref="O153:R153"/>
    <mergeCell ref="S153:AP153"/>
    <mergeCell ref="I154:N154"/>
    <mergeCell ref="O154:R154"/>
    <mergeCell ref="S154:AQ154"/>
    <mergeCell ref="A149:AQ149"/>
    <mergeCell ref="A150:AQ150"/>
    <mergeCell ref="A151:AQ151"/>
    <mergeCell ref="I152:N152"/>
    <mergeCell ref="S152:AE152"/>
    <mergeCell ref="AF152:AI152"/>
    <mergeCell ref="V143:AQ143"/>
    <mergeCell ref="V144:AQ144"/>
    <mergeCell ref="A145:AQ145"/>
    <mergeCell ref="A146:AQ146"/>
    <mergeCell ref="A147:AQ147"/>
    <mergeCell ref="A148:AQ148"/>
    <mergeCell ref="A138:B138"/>
    <mergeCell ref="AI138:AQ138"/>
    <mergeCell ref="A139:AQ139"/>
    <mergeCell ref="A140:AQ140"/>
    <mergeCell ref="A141:AQ141"/>
    <mergeCell ref="A142:AQ142"/>
    <mergeCell ref="A132:AQ132"/>
    <mergeCell ref="A133:AQ133"/>
    <mergeCell ref="A134:AQ134"/>
    <mergeCell ref="A135:AQ135"/>
    <mergeCell ref="A136:AQ136"/>
    <mergeCell ref="A137:B137"/>
    <mergeCell ref="AI137:AQ137"/>
    <mergeCell ref="A126:AQ126"/>
    <mergeCell ref="A127:AQ127"/>
    <mergeCell ref="A128:AQ128"/>
    <mergeCell ref="A129:AQ129"/>
    <mergeCell ref="A130:AQ130"/>
    <mergeCell ref="A131:AQ131"/>
    <mergeCell ref="I121:R121"/>
    <mergeCell ref="I122:R122"/>
    <mergeCell ref="S122:AI122"/>
    <mergeCell ref="A123:AQ123"/>
    <mergeCell ref="A124:AQ124"/>
    <mergeCell ref="A125:AQ125"/>
    <mergeCell ref="I119:N119"/>
    <mergeCell ref="O119:R119"/>
    <mergeCell ref="S119:AP119"/>
    <mergeCell ref="I120:N120"/>
    <mergeCell ref="O120:R120"/>
    <mergeCell ref="S120:AQ120"/>
    <mergeCell ref="A115:AQ115"/>
    <mergeCell ref="A116:AQ116"/>
    <mergeCell ref="A117:AQ117"/>
    <mergeCell ref="I118:N118"/>
    <mergeCell ref="S118:AE118"/>
    <mergeCell ref="AF118:AI118"/>
    <mergeCell ref="V109:AQ109"/>
    <mergeCell ref="V110:AQ110"/>
    <mergeCell ref="A111:AQ111"/>
    <mergeCell ref="A112:AQ112"/>
    <mergeCell ref="A113:AQ113"/>
    <mergeCell ref="A114:AQ114"/>
    <mergeCell ref="A104:B104"/>
    <mergeCell ref="AI104:AQ104"/>
    <mergeCell ref="A105:AQ105"/>
    <mergeCell ref="A106:AQ106"/>
    <mergeCell ref="A107:AQ107"/>
    <mergeCell ref="A108:AQ108"/>
    <mergeCell ref="A98:AQ98"/>
    <mergeCell ref="A99:AQ99"/>
    <mergeCell ref="A100:AQ100"/>
    <mergeCell ref="A101:AQ101"/>
    <mergeCell ref="A102:AQ102"/>
    <mergeCell ref="A103:B103"/>
    <mergeCell ref="AI103:AQ103"/>
    <mergeCell ref="A92:AQ92"/>
    <mergeCell ref="A93:AQ93"/>
    <mergeCell ref="A94:AQ94"/>
    <mergeCell ref="A95:AQ95"/>
    <mergeCell ref="A96:AQ96"/>
    <mergeCell ref="A97:AQ97"/>
    <mergeCell ref="I87:R87"/>
    <mergeCell ref="I88:R88"/>
    <mergeCell ref="S88:AI88"/>
    <mergeCell ref="A89:AQ89"/>
    <mergeCell ref="A90:AQ90"/>
    <mergeCell ref="A91:AQ91"/>
    <mergeCell ref="I85:N85"/>
    <mergeCell ref="O85:R85"/>
    <mergeCell ref="S85:AP85"/>
    <mergeCell ref="I86:N86"/>
    <mergeCell ref="O86:R86"/>
    <mergeCell ref="S86:AQ86"/>
    <mergeCell ref="A81:AQ81"/>
    <mergeCell ref="A82:AQ82"/>
    <mergeCell ref="A83:AQ83"/>
    <mergeCell ref="I84:N84"/>
    <mergeCell ref="S84:AE84"/>
    <mergeCell ref="AF84:AI84"/>
    <mergeCell ref="V75:AQ75"/>
    <mergeCell ref="V76:AQ76"/>
    <mergeCell ref="A77:AQ77"/>
    <mergeCell ref="A78:AQ78"/>
    <mergeCell ref="A79:AQ79"/>
    <mergeCell ref="A80:AQ80"/>
    <mergeCell ref="A70:B70"/>
    <mergeCell ref="AI70:AQ70"/>
    <mergeCell ref="A71:AQ71"/>
    <mergeCell ref="A72:AQ72"/>
    <mergeCell ref="A73:AQ73"/>
    <mergeCell ref="A74:AQ74"/>
    <mergeCell ref="A64:AQ64"/>
    <mergeCell ref="A65:AQ65"/>
    <mergeCell ref="A66:AQ66"/>
    <mergeCell ref="A67:AQ67"/>
    <mergeCell ref="A68:AQ68"/>
    <mergeCell ref="A58:AQ58"/>
    <mergeCell ref="A59:AQ59"/>
    <mergeCell ref="A60:AQ60"/>
    <mergeCell ref="A61:AQ61"/>
    <mergeCell ref="A62:AQ62"/>
    <mergeCell ref="A63:AQ63"/>
    <mergeCell ref="I53:R53"/>
    <mergeCell ref="I54:R54"/>
    <mergeCell ref="S54:AI54"/>
    <mergeCell ref="A55:AQ55"/>
    <mergeCell ref="A56:AQ56"/>
    <mergeCell ref="A57:AQ57"/>
    <mergeCell ref="I51:N51"/>
    <mergeCell ref="O51:R51"/>
    <mergeCell ref="S51:AP51"/>
    <mergeCell ref="I52:N52"/>
    <mergeCell ref="O52:R52"/>
    <mergeCell ref="S52:AQ52"/>
    <mergeCell ref="A47:AQ47"/>
    <mergeCell ref="A48:AQ48"/>
    <mergeCell ref="A49:AQ49"/>
    <mergeCell ref="I50:N50"/>
    <mergeCell ref="S50:AE50"/>
    <mergeCell ref="AF50:AI50"/>
    <mergeCell ref="V41:AQ41"/>
    <mergeCell ref="V42:AQ42"/>
    <mergeCell ref="A43:AQ43"/>
    <mergeCell ref="A44:AQ44"/>
    <mergeCell ref="A45:AQ45"/>
    <mergeCell ref="A46:AQ46"/>
    <mergeCell ref="A37:AQ37"/>
    <mergeCell ref="A38:AQ38"/>
    <mergeCell ref="A39:AQ39"/>
    <mergeCell ref="A40:AQ40"/>
    <mergeCell ref="A30:AQ30"/>
    <mergeCell ref="A31:AQ31"/>
    <mergeCell ref="A32:AQ32"/>
    <mergeCell ref="A33:AQ33"/>
    <mergeCell ref="A34:AQ34"/>
    <mergeCell ref="A35:B35"/>
    <mergeCell ref="AI35:AQ35"/>
    <mergeCell ref="A29:AQ29"/>
    <mergeCell ref="I19:R19"/>
    <mergeCell ref="I20:R20"/>
    <mergeCell ref="S20:AI20"/>
    <mergeCell ref="A21:AQ21"/>
    <mergeCell ref="A22:AQ22"/>
    <mergeCell ref="A23:AQ23"/>
    <mergeCell ref="A36:B36"/>
    <mergeCell ref="AI36:AQ36"/>
    <mergeCell ref="A15:AQ15"/>
    <mergeCell ref="I16:N16"/>
    <mergeCell ref="S16:AE16"/>
    <mergeCell ref="AF16:AI16"/>
    <mergeCell ref="A24:AQ24"/>
    <mergeCell ref="A25:AQ25"/>
    <mergeCell ref="A26:AQ26"/>
    <mergeCell ref="A27:AQ27"/>
    <mergeCell ref="A28:AQ28"/>
    <mergeCell ref="A69:B69"/>
    <mergeCell ref="AI69:AQ69"/>
    <mergeCell ref="A5:AQ5"/>
    <mergeCell ref="A6:AQ6"/>
    <mergeCell ref="V7:AQ7"/>
    <mergeCell ref="V8:AQ8"/>
    <mergeCell ref="A9:AQ9"/>
    <mergeCell ref="A10:AQ10"/>
    <mergeCell ref="A1:B1"/>
    <mergeCell ref="AI1:AQ1"/>
    <mergeCell ref="A2:B2"/>
    <mergeCell ref="AI2:AQ2"/>
    <mergeCell ref="A3:AQ3"/>
    <mergeCell ref="A4:AQ4"/>
    <mergeCell ref="I17:N17"/>
    <mergeCell ref="O17:R17"/>
    <mergeCell ref="S17:AP17"/>
    <mergeCell ref="I18:N18"/>
    <mergeCell ref="O18:R18"/>
    <mergeCell ref="S18:AQ18"/>
    <mergeCell ref="A11:AQ11"/>
    <mergeCell ref="A12:AQ12"/>
    <mergeCell ref="A13:AQ13"/>
    <mergeCell ref="A14:AQ14"/>
  </mergeCells>
  <phoneticPr fontId="1"/>
  <pageMargins left="0.98425196850393704" right="0.98425196850393704" top="1.3779527559055118" bottom="1.1811023622047245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>
    <tabColor rgb="FFFFC000"/>
  </sheetPr>
  <dimension ref="A1:AV126"/>
  <sheetViews>
    <sheetView showGridLines="0" view="pageBreakPreview" zoomScaleNormal="100" zoomScaleSheetLayoutView="100" workbookViewId="0">
      <selection activeCell="V7" sqref="V7:AQ7"/>
    </sheetView>
  </sheetViews>
  <sheetFormatPr defaultColWidth="9" defaultRowHeight="22.5" customHeight="1"/>
  <cols>
    <col min="1" max="43" width="1.90625" style="13" customWidth="1"/>
    <col min="44" max="44" width="3.36328125" style="15" customWidth="1"/>
    <col min="45" max="47" width="1.90625" style="13" customWidth="1"/>
    <col min="48" max="48" width="6.26953125" style="13" customWidth="1"/>
    <col min="49" max="49" width="25" style="13" customWidth="1"/>
    <col min="50" max="16384" width="9" style="13"/>
  </cols>
  <sheetData>
    <row r="1" spans="1:48" ht="16.5" customHeight="1">
      <c r="A1" s="197"/>
      <c r="B1" s="197"/>
      <c r="AI1" s="200" t="str">
        <f>'1'!$AI$1</f>
        <v>R4健障障第100号</v>
      </c>
      <c r="AJ1" s="200"/>
      <c r="AK1" s="200"/>
      <c r="AL1" s="200"/>
      <c r="AM1" s="200"/>
      <c r="AN1" s="200"/>
      <c r="AO1" s="200"/>
      <c r="AP1" s="200"/>
      <c r="AQ1" s="200"/>
      <c r="AR1" s="15">
        <v>1</v>
      </c>
    </row>
    <row r="2" spans="1:48" ht="16.5" customHeight="1">
      <c r="A2" s="197"/>
      <c r="B2" s="197"/>
      <c r="AI2" s="201">
        <f>'1'!$AI$2</f>
        <v>44677</v>
      </c>
      <c r="AJ2" s="201"/>
      <c r="AK2" s="201"/>
      <c r="AL2" s="201"/>
      <c r="AM2" s="201"/>
      <c r="AN2" s="201"/>
      <c r="AO2" s="201"/>
      <c r="AP2" s="201"/>
      <c r="AQ2" s="201"/>
      <c r="AR2" s="15">
        <f>AR1+1</f>
        <v>2</v>
      </c>
    </row>
    <row r="3" spans="1:48" ht="18.7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5">
        <f t="shared" ref="AR3:AR34" si="0">AR2+1</f>
        <v>3</v>
      </c>
    </row>
    <row r="4" spans="1:48" ht="18.75" customHeight="1">
      <c r="A4" s="199" t="str">
        <f>INDEX(送付先一覧!A:O,MATCH(AV4,送付先一覧!A:A,0),4)</f>
        <v>社会福祉法人仙台市手をつなぐ育成会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5">
        <f t="shared" si="0"/>
        <v>4</v>
      </c>
      <c r="AV4" s="65">
        <v>29</v>
      </c>
    </row>
    <row r="5" spans="1:48" ht="18.75" customHeight="1">
      <c r="A5" s="202" t="str">
        <f>INDEX(送付先一覧!A:O,MATCH(AV4,送付先一覧!A:A,0),5)</f>
        <v>理事長　千葉　厚子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15">
        <f t="shared" si="0"/>
        <v>5</v>
      </c>
    </row>
    <row r="6" spans="1:48" ht="18.75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5">
        <f t="shared" si="0"/>
        <v>6</v>
      </c>
    </row>
    <row r="7" spans="1:48" ht="18.75" customHeight="1">
      <c r="V7" s="199" t="str">
        <f>'1'!$V$7</f>
        <v>仙台市健康福祉局障害福祉部障害企画課長　　</v>
      </c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5">
        <f t="shared" si="0"/>
        <v>7</v>
      </c>
    </row>
    <row r="8" spans="1:48" ht="18.75" customHeight="1">
      <c r="V8" s="199" t="str">
        <f>'1'!$V$8</f>
        <v>仙台市健康福祉局障害福祉部障害者支援課長　</v>
      </c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5">
        <f t="shared" si="0"/>
        <v>8</v>
      </c>
    </row>
    <row r="9" spans="1:48" ht="18.7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5">
        <f t="shared" si="0"/>
        <v>9</v>
      </c>
    </row>
    <row r="10" spans="1:48" ht="22.5" customHeight="1">
      <c r="A10" s="203" t="str">
        <f>'1'!$A$10</f>
        <v>令和４年度仙台市障害福祉分野のICT導入モデル事業補助金の内示について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15">
        <f t="shared" si="0"/>
        <v>10</v>
      </c>
    </row>
    <row r="11" spans="1:48" ht="18.7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5">
        <f t="shared" si="0"/>
        <v>11</v>
      </c>
    </row>
    <row r="12" spans="1:48" ht="93.75" customHeight="1">
      <c r="A12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15">
        <f t="shared" si="0"/>
        <v>12</v>
      </c>
    </row>
    <row r="13" spans="1:48" ht="18.7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5">
        <f t="shared" si="0"/>
        <v>13</v>
      </c>
    </row>
    <row r="14" spans="1:48" ht="18.75" customHeight="1">
      <c r="A14" s="197" t="str">
        <f>'1'!$A$14</f>
        <v>記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5">
        <f t="shared" si="0"/>
        <v>14</v>
      </c>
    </row>
    <row r="15" spans="1:48" ht="18.7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5">
        <f t="shared" si="0"/>
        <v>15</v>
      </c>
    </row>
    <row r="16" spans="1:48" ht="18.75" customHeight="1">
      <c r="I16" s="199" t="str">
        <f>'1'!$I$16</f>
        <v>補助内示額</v>
      </c>
      <c r="J16" s="199"/>
      <c r="K16" s="199"/>
      <c r="L16" s="199"/>
      <c r="M16" s="199"/>
      <c r="N16" s="199"/>
      <c r="S16" s="206">
        <f>INDEX(送付先一覧!A:O,MATCH(AV4,送付先一覧!A:A,0),12)</f>
        <v>666000</v>
      </c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199"/>
      <c r="AG16" s="199"/>
      <c r="AH16" s="199"/>
      <c r="AI16" s="199"/>
      <c r="AR16" s="15">
        <f t="shared" si="0"/>
        <v>16</v>
      </c>
    </row>
    <row r="17" spans="1:44" ht="18.75" customHeight="1">
      <c r="I17" s="199" t="str">
        <f>'1'!$I$17</f>
        <v>事業種別</v>
      </c>
      <c r="J17" s="199"/>
      <c r="K17" s="199"/>
      <c r="L17" s="199"/>
      <c r="M17" s="199"/>
      <c r="N17" s="199"/>
      <c r="O17" s="199"/>
      <c r="P17" s="199"/>
      <c r="Q17" s="199"/>
      <c r="R17" s="199"/>
      <c r="S17" s="199" t="str">
        <f>INDEX(送付先一覧!A:O,MATCH(AV4,送付先一覧!A:A,0),9)</f>
        <v>生活介護</v>
      </c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R17" s="15">
        <f t="shared" si="0"/>
        <v>17</v>
      </c>
    </row>
    <row r="18" spans="1:44" ht="18.75" customHeight="1">
      <c r="I18" s="199" t="str">
        <f>'1'!$I$18</f>
        <v>事業所名</v>
      </c>
      <c r="J18" s="199"/>
      <c r="K18" s="199"/>
      <c r="L18" s="199"/>
      <c r="M18" s="199"/>
      <c r="N18" s="199"/>
      <c r="O18" s="199"/>
      <c r="P18" s="199"/>
      <c r="Q18" s="199"/>
      <c r="R18" s="199"/>
      <c r="S18" s="204" t="str">
        <f>INDEX(送付先一覧!A:O,MATCH(AV4,送付先一覧!A:A,0),8)</f>
        <v>ホープすずかけ</v>
      </c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15">
        <f t="shared" si="0"/>
        <v>18</v>
      </c>
    </row>
    <row r="19" spans="1:44" ht="18.75" customHeight="1"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15">
        <f t="shared" si="0"/>
        <v>19</v>
      </c>
    </row>
    <row r="20" spans="1:44" ht="18.75" customHeight="1"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R20" s="15">
        <f t="shared" si="0"/>
        <v>20</v>
      </c>
    </row>
    <row r="21" spans="1:44" ht="18.7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5">
        <f t="shared" si="0"/>
        <v>21</v>
      </c>
    </row>
    <row r="22" spans="1:44" ht="18.75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5">
        <f t="shared" si="0"/>
        <v>22</v>
      </c>
    </row>
    <row r="23" spans="1:44" ht="18.75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5">
        <f t="shared" si="0"/>
        <v>23</v>
      </c>
    </row>
    <row r="24" spans="1:44" ht="18.75" customHeight="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5">
        <f t="shared" si="0"/>
        <v>24</v>
      </c>
    </row>
    <row r="25" spans="1:44" ht="18.7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5">
        <f t="shared" si="0"/>
        <v>25</v>
      </c>
    </row>
    <row r="26" spans="1:44" ht="18.7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5">
        <f t="shared" si="0"/>
        <v>26</v>
      </c>
    </row>
    <row r="27" spans="1:44" ht="18.75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5">
        <f t="shared" si="0"/>
        <v>27</v>
      </c>
    </row>
    <row r="28" spans="1:44" ht="18.7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5">
        <f t="shared" si="0"/>
        <v>28</v>
      </c>
    </row>
    <row r="29" spans="1:44" ht="18.75" customHeight="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5">
        <f t="shared" si="0"/>
        <v>29</v>
      </c>
    </row>
    <row r="30" spans="1:44" ht="18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5">
        <f t="shared" si="0"/>
        <v>30</v>
      </c>
    </row>
    <row r="31" spans="1:44" ht="18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5">
        <f t="shared" si="0"/>
        <v>31</v>
      </c>
    </row>
    <row r="32" spans="1:44" ht="18.75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5">
        <f t="shared" si="0"/>
        <v>32</v>
      </c>
    </row>
    <row r="33" spans="1:44" ht="18.7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5">
        <f t="shared" si="0"/>
        <v>33</v>
      </c>
    </row>
    <row r="34" spans="1:44" ht="18.7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5">
        <f t="shared" si="0"/>
        <v>34</v>
      </c>
    </row>
    <row r="35" spans="1:44" ht="18.75" customHeight="1">
      <c r="A35" s="15"/>
      <c r="B35" s="15"/>
    </row>
    <row r="36" spans="1:44" ht="16.5" customHeight="1"/>
    <row r="37" spans="1:44" ht="16.5" customHeight="1"/>
    <row r="38" spans="1:44" ht="16.5" customHeight="1"/>
    <row r="39" spans="1:44" ht="16.5" customHeight="1"/>
    <row r="40" spans="1:44" ht="16.5" customHeight="1"/>
    <row r="41" spans="1:44" ht="16.5" customHeight="1"/>
    <row r="42" spans="1:44" ht="16.5" customHeight="1"/>
    <row r="43" spans="1:44" ht="16.5" customHeight="1"/>
    <row r="44" spans="1:44" ht="16.5" customHeight="1"/>
    <row r="45" spans="1:44" ht="16.5" customHeight="1"/>
    <row r="46" spans="1:44" ht="16.5" customHeight="1"/>
    <row r="47" spans="1:44" ht="16.5" customHeight="1"/>
    <row r="48" spans="1:44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</sheetData>
  <sheetProtection formatCells="0" selectLockedCells="1"/>
  <mergeCells count="43">
    <mergeCell ref="A30:AQ30"/>
    <mergeCell ref="A31:AQ31"/>
    <mergeCell ref="A32:AQ32"/>
    <mergeCell ref="A33:AQ33"/>
    <mergeCell ref="A34:AQ34"/>
    <mergeCell ref="A29:AQ29"/>
    <mergeCell ref="I19:R19"/>
    <mergeCell ref="I20:R20"/>
    <mergeCell ref="S20:AI20"/>
    <mergeCell ref="A21:AQ21"/>
    <mergeCell ref="A22:AQ22"/>
    <mergeCell ref="A23:AQ23"/>
    <mergeCell ref="A24:AQ24"/>
    <mergeCell ref="A25:AQ25"/>
    <mergeCell ref="A26:AQ26"/>
    <mergeCell ref="A27:AQ27"/>
    <mergeCell ref="A28:AQ28"/>
    <mergeCell ref="I17:N17"/>
    <mergeCell ref="O17:R17"/>
    <mergeCell ref="S17:AP17"/>
    <mergeCell ref="I18:N18"/>
    <mergeCell ref="O18:R18"/>
    <mergeCell ref="S18:AQ18"/>
    <mergeCell ref="I16:N16"/>
    <mergeCell ref="S16:AE16"/>
    <mergeCell ref="AF16:AI16"/>
    <mergeCell ref="A5:AQ5"/>
    <mergeCell ref="A6:AQ6"/>
    <mergeCell ref="V7:AQ7"/>
    <mergeCell ref="V8:AQ8"/>
    <mergeCell ref="A9:AQ9"/>
    <mergeCell ref="A10:AQ10"/>
    <mergeCell ref="A11:AQ11"/>
    <mergeCell ref="A12:AQ12"/>
    <mergeCell ref="A13:AQ13"/>
    <mergeCell ref="A14:AQ14"/>
    <mergeCell ref="A15:AQ15"/>
    <mergeCell ref="A4:AQ4"/>
    <mergeCell ref="A1:B1"/>
    <mergeCell ref="AI1:AQ1"/>
    <mergeCell ref="A2:B2"/>
    <mergeCell ref="AI2:AQ2"/>
    <mergeCell ref="A3:AQ3"/>
  </mergeCells>
  <phoneticPr fontId="1"/>
  <pageMargins left="0.98425196850393704" right="0.98425196850393704" top="1.3779527559055118" bottom="1.1811023622047245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9">
    <tabColor rgb="FFFFC000"/>
  </sheetPr>
  <dimension ref="A1:AV126"/>
  <sheetViews>
    <sheetView showGridLines="0" view="pageBreakPreview" zoomScaleNormal="100" zoomScaleSheetLayoutView="100" workbookViewId="0">
      <selection activeCell="V7" sqref="V7:AQ7"/>
    </sheetView>
  </sheetViews>
  <sheetFormatPr defaultColWidth="9" defaultRowHeight="22.5" customHeight="1"/>
  <cols>
    <col min="1" max="43" width="1.90625" style="13" customWidth="1"/>
    <col min="44" max="44" width="3.36328125" style="15" customWidth="1"/>
    <col min="45" max="47" width="1.90625" style="13" customWidth="1"/>
    <col min="48" max="48" width="6.26953125" style="13" customWidth="1"/>
    <col min="49" max="49" width="25" style="13" customWidth="1"/>
    <col min="50" max="16384" width="9" style="13"/>
  </cols>
  <sheetData>
    <row r="1" spans="1:48" ht="16.5" customHeight="1">
      <c r="A1" s="197"/>
      <c r="B1" s="197"/>
      <c r="AI1" s="200" t="str">
        <f>'1'!$AI$1</f>
        <v>R4健障障第100号</v>
      </c>
      <c r="AJ1" s="200"/>
      <c r="AK1" s="200"/>
      <c r="AL1" s="200"/>
      <c r="AM1" s="200"/>
      <c r="AN1" s="200"/>
      <c r="AO1" s="200"/>
      <c r="AP1" s="200"/>
      <c r="AQ1" s="200"/>
      <c r="AR1" s="15">
        <v>1</v>
      </c>
    </row>
    <row r="2" spans="1:48" ht="16.5" customHeight="1">
      <c r="A2" s="197"/>
      <c r="B2" s="197"/>
      <c r="AI2" s="201">
        <f>'1'!$AI$2</f>
        <v>44677</v>
      </c>
      <c r="AJ2" s="201"/>
      <c r="AK2" s="201"/>
      <c r="AL2" s="201"/>
      <c r="AM2" s="201"/>
      <c r="AN2" s="201"/>
      <c r="AO2" s="201"/>
      <c r="AP2" s="201"/>
      <c r="AQ2" s="201"/>
      <c r="AR2" s="15">
        <f>AR1+1</f>
        <v>2</v>
      </c>
    </row>
    <row r="3" spans="1:48" ht="18.7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5">
        <f t="shared" ref="AR3:AR34" si="0">AR2+1</f>
        <v>3</v>
      </c>
    </row>
    <row r="4" spans="1:48" ht="18.75" customHeight="1">
      <c r="A4" s="199" t="str">
        <f>INDEX(送付先一覧!A:O,MATCH(AV4,送付先一覧!A:A,0),4)</f>
        <v>社会福祉法人陽光福祉会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5">
        <f t="shared" si="0"/>
        <v>4</v>
      </c>
      <c r="AV4" s="65">
        <v>30</v>
      </c>
    </row>
    <row r="5" spans="1:48" ht="18.75" customHeight="1">
      <c r="A5" s="202" t="str">
        <f>INDEX(送付先一覧!A:O,MATCH(AV4,送付先一覧!A:A,0),5)</f>
        <v>理事長　千葉　雄成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15">
        <f t="shared" si="0"/>
        <v>5</v>
      </c>
    </row>
    <row r="6" spans="1:48" ht="18.75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5">
        <f t="shared" si="0"/>
        <v>6</v>
      </c>
    </row>
    <row r="7" spans="1:48" ht="18.75" customHeight="1">
      <c r="V7" s="199" t="str">
        <f>'1'!$V$7</f>
        <v>仙台市健康福祉局障害福祉部障害企画課長　　</v>
      </c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5">
        <f t="shared" si="0"/>
        <v>7</v>
      </c>
    </row>
    <row r="8" spans="1:48" ht="18.75" customHeight="1">
      <c r="V8" s="199" t="str">
        <f>'1'!$V$8</f>
        <v>仙台市健康福祉局障害福祉部障害者支援課長　</v>
      </c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5">
        <f t="shared" si="0"/>
        <v>8</v>
      </c>
    </row>
    <row r="9" spans="1:48" ht="18.7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5">
        <f t="shared" si="0"/>
        <v>9</v>
      </c>
    </row>
    <row r="10" spans="1:48" ht="22.5" customHeight="1">
      <c r="A10" s="203" t="str">
        <f>'1'!$A$10</f>
        <v>令和４年度仙台市障害福祉分野のICT導入モデル事業補助金の内示について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15">
        <f t="shared" si="0"/>
        <v>10</v>
      </c>
    </row>
    <row r="11" spans="1:48" ht="18.7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5">
        <f t="shared" si="0"/>
        <v>11</v>
      </c>
    </row>
    <row r="12" spans="1:48" ht="93.75" customHeight="1">
      <c r="A12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15">
        <f t="shared" si="0"/>
        <v>12</v>
      </c>
    </row>
    <row r="13" spans="1:48" ht="18.7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5">
        <f t="shared" si="0"/>
        <v>13</v>
      </c>
    </row>
    <row r="14" spans="1:48" ht="18.75" customHeight="1">
      <c r="A14" s="197" t="str">
        <f>'1'!$A$14</f>
        <v>記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5">
        <f t="shared" si="0"/>
        <v>14</v>
      </c>
    </row>
    <row r="15" spans="1:48" ht="18.7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5">
        <f t="shared" si="0"/>
        <v>15</v>
      </c>
    </row>
    <row r="16" spans="1:48" ht="18.75" customHeight="1">
      <c r="I16" s="199" t="str">
        <f>'1'!$I$16</f>
        <v>補助内示額</v>
      </c>
      <c r="J16" s="199"/>
      <c r="K16" s="199"/>
      <c r="L16" s="199"/>
      <c r="M16" s="199"/>
      <c r="N16" s="199"/>
      <c r="S16" s="206">
        <f>INDEX(送付先一覧!A:O,MATCH(AV4,送付先一覧!A:A,0),12)</f>
        <v>666000</v>
      </c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199"/>
      <c r="AG16" s="199"/>
      <c r="AH16" s="199"/>
      <c r="AI16" s="199"/>
      <c r="AR16" s="15">
        <f t="shared" si="0"/>
        <v>16</v>
      </c>
    </row>
    <row r="17" spans="1:44" ht="18.75" customHeight="1">
      <c r="I17" s="199" t="str">
        <f>'1'!$I$17</f>
        <v>事業種別</v>
      </c>
      <c r="J17" s="199"/>
      <c r="K17" s="199"/>
      <c r="L17" s="199"/>
      <c r="M17" s="199"/>
      <c r="N17" s="199"/>
      <c r="O17" s="199"/>
      <c r="P17" s="199"/>
      <c r="Q17" s="199"/>
      <c r="R17" s="199"/>
      <c r="S17" s="199" t="str">
        <f>INDEX(送付先一覧!A:O,MATCH(AV4,送付先一覧!A:A,0),9)</f>
        <v>療養介護</v>
      </c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R17" s="15">
        <f t="shared" si="0"/>
        <v>17</v>
      </c>
    </row>
    <row r="18" spans="1:44" ht="18.75" customHeight="1">
      <c r="I18" s="199" t="str">
        <f>'1'!$I$18</f>
        <v>事業所名</v>
      </c>
      <c r="J18" s="199"/>
      <c r="K18" s="199"/>
      <c r="L18" s="199"/>
      <c r="M18" s="199"/>
      <c r="N18" s="199"/>
      <c r="O18" s="199"/>
      <c r="P18" s="199"/>
      <c r="Q18" s="199"/>
      <c r="R18" s="199"/>
      <c r="S18" s="204" t="str">
        <f>INDEX(送付先一覧!A:O,MATCH(AV4,送付先一覧!A:A,0),8)</f>
        <v>仙台エコー医療療育センター</v>
      </c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15">
        <f t="shared" si="0"/>
        <v>18</v>
      </c>
    </row>
    <row r="19" spans="1:44" ht="18.75" customHeight="1"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15">
        <f t="shared" si="0"/>
        <v>19</v>
      </c>
    </row>
    <row r="20" spans="1:44" ht="18.75" customHeight="1"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R20" s="15">
        <f t="shared" si="0"/>
        <v>20</v>
      </c>
    </row>
    <row r="21" spans="1:44" ht="18.7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5">
        <f t="shared" si="0"/>
        <v>21</v>
      </c>
    </row>
    <row r="22" spans="1:44" ht="18.75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5">
        <f t="shared" si="0"/>
        <v>22</v>
      </c>
    </row>
    <row r="23" spans="1:44" ht="18.75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5">
        <f t="shared" si="0"/>
        <v>23</v>
      </c>
    </row>
    <row r="24" spans="1:44" ht="18.75" customHeight="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5">
        <f t="shared" si="0"/>
        <v>24</v>
      </c>
    </row>
    <row r="25" spans="1:44" ht="18.7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5">
        <f t="shared" si="0"/>
        <v>25</v>
      </c>
    </row>
    <row r="26" spans="1:44" ht="18.7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5">
        <f t="shared" si="0"/>
        <v>26</v>
      </c>
    </row>
    <row r="27" spans="1:44" ht="18.75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5">
        <f t="shared" si="0"/>
        <v>27</v>
      </c>
    </row>
    <row r="28" spans="1:44" ht="18.7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5">
        <f t="shared" si="0"/>
        <v>28</v>
      </c>
    </row>
    <row r="29" spans="1:44" ht="18.75" customHeight="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5">
        <f t="shared" si="0"/>
        <v>29</v>
      </c>
    </row>
    <row r="30" spans="1:44" ht="18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5">
        <f t="shared" si="0"/>
        <v>30</v>
      </c>
    </row>
    <row r="31" spans="1:44" ht="18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5">
        <f t="shared" si="0"/>
        <v>31</v>
      </c>
    </row>
    <row r="32" spans="1:44" ht="18.75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5">
        <f t="shared" si="0"/>
        <v>32</v>
      </c>
    </row>
    <row r="33" spans="1:44" ht="18.7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5">
        <f t="shared" si="0"/>
        <v>33</v>
      </c>
    </row>
    <row r="34" spans="1:44" ht="18.7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5">
        <f t="shared" si="0"/>
        <v>34</v>
      </c>
    </row>
    <row r="35" spans="1:44" ht="18.75" customHeight="1">
      <c r="A35" s="15"/>
      <c r="B35" s="15"/>
    </row>
    <row r="36" spans="1:44" ht="16.5" customHeight="1"/>
    <row r="37" spans="1:44" ht="16.5" customHeight="1"/>
    <row r="38" spans="1:44" ht="16.5" customHeight="1"/>
    <row r="39" spans="1:44" ht="16.5" customHeight="1"/>
    <row r="40" spans="1:44" ht="16.5" customHeight="1"/>
    <row r="41" spans="1:44" ht="16.5" customHeight="1"/>
    <row r="42" spans="1:44" ht="16.5" customHeight="1"/>
    <row r="43" spans="1:44" ht="16.5" customHeight="1"/>
    <row r="44" spans="1:44" ht="16.5" customHeight="1"/>
    <row r="45" spans="1:44" ht="16.5" customHeight="1"/>
    <row r="46" spans="1:44" ht="16.5" customHeight="1"/>
    <row r="47" spans="1:44" ht="16.5" customHeight="1"/>
    <row r="48" spans="1:44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</sheetData>
  <sheetProtection formatCells="0" selectLockedCells="1"/>
  <mergeCells count="43">
    <mergeCell ref="A30:AQ30"/>
    <mergeCell ref="A31:AQ31"/>
    <mergeCell ref="A32:AQ32"/>
    <mergeCell ref="A33:AQ33"/>
    <mergeCell ref="A34:AQ34"/>
    <mergeCell ref="A29:AQ29"/>
    <mergeCell ref="I19:R19"/>
    <mergeCell ref="I20:R20"/>
    <mergeCell ref="S20:AI20"/>
    <mergeCell ref="A21:AQ21"/>
    <mergeCell ref="A22:AQ22"/>
    <mergeCell ref="A23:AQ23"/>
    <mergeCell ref="A24:AQ24"/>
    <mergeCell ref="A25:AQ25"/>
    <mergeCell ref="A26:AQ26"/>
    <mergeCell ref="A27:AQ27"/>
    <mergeCell ref="A28:AQ28"/>
    <mergeCell ref="I17:N17"/>
    <mergeCell ref="O17:R17"/>
    <mergeCell ref="S17:AP17"/>
    <mergeCell ref="I18:N18"/>
    <mergeCell ref="O18:R18"/>
    <mergeCell ref="S18:AQ18"/>
    <mergeCell ref="I16:N16"/>
    <mergeCell ref="S16:AE16"/>
    <mergeCell ref="AF16:AI16"/>
    <mergeCell ref="A5:AQ5"/>
    <mergeCell ref="A6:AQ6"/>
    <mergeCell ref="V7:AQ7"/>
    <mergeCell ref="V8:AQ8"/>
    <mergeCell ref="A9:AQ9"/>
    <mergeCell ref="A10:AQ10"/>
    <mergeCell ref="A11:AQ11"/>
    <mergeCell ref="A12:AQ12"/>
    <mergeCell ref="A13:AQ13"/>
    <mergeCell ref="A14:AQ14"/>
    <mergeCell ref="A15:AQ15"/>
    <mergeCell ref="A4:AQ4"/>
    <mergeCell ref="A1:B1"/>
    <mergeCell ref="AI1:AQ1"/>
    <mergeCell ref="A2:B2"/>
    <mergeCell ref="AI2:AQ2"/>
    <mergeCell ref="A3:AQ3"/>
  </mergeCells>
  <phoneticPr fontId="1"/>
  <pageMargins left="0.98425196850393704" right="0.98425196850393704" top="1.3779527559055118" bottom="1.1811023622047245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0">
    <tabColor rgb="FFFFC000"/>
  </sheetPr>
  <dimension ref="A1:AV151"/>
  <sheetViews>
    <sheetView showGridLines="0" view="pageBreakPreview" zoomScaleNormal="100" zoomScaleSheetLayoutView="100" workbookViewId="0">
      <selection activeCell="V7" sqref="V7:AQ7"/>
    </sheetView>
  </sheetViews>
  <sheetFormatPr defaultColWidth="9" defaultRowHeight="22.5" customHeight="1"/>
  <cols>
    <col min="1" max="43" width="1.90625" style="13" customWidth="1"/>
    <col min="44" max="44" width="3.36328125" style="15" customWidth="1"/>
    <col min="45" max="47" width="1.90625" style="13" customWidth="1"/>
    <col min="48" max="48" width="6.26953125" style="13" customWidth="1"/>
    <col min="49" max="49" width="25" style="13" customWidth="1"/>
    <col min="50" max="16384" width="9" style="13"/>
  </cols>
  <sheetData>
    <row r="1" spans="1:48" ht="16.5" customHeight="1">
      <c r="A1" s="197"/>
      <c r="B1" s="197"/>
      <c r="AI1" s="200" t="str">
        <f>'1'!$AI$1</f>
        <v>R4健障障第100号</v>
      </c>
      <c r="AJ1" s="200"/>
      <c r="AK1" s="200"/>
      <c r="AL1" s="200"/>
      <c r="AM1" s="200"/>
      <c r="AN1" s="200"/>
      <c r="AO1" s="200"/>
      <c r="AP1" s="200"/>
      <c r="AQ1" s="200"/>
      <c r="AR1" s="15">
        <v>1</v>
      </c>
    </row>
    <row r="2" spans="1:48" ht="16.5" customHeight="1">
      <c r="A2" s="197"/>
      <c r="B2" s="197"/>
      <c r="AI2" s="201">
        <f>'1'!$AI$2</f>
        <v>44677</v>
      </c>
      <c r="AJ2" s="201"/>
      <c r="AK2" s="201"/>
      <c r="AL2" s="201"/>
      <c r="AM2" s="201"/>
      <c r="AN2" s="201"/>
      <c r="AO2" s="201"/>
      <c r="AP2" s="201"/>
      <c r="AQ2" s="201"/>
      <c r="AR2" s="15">
        <f>AR1+1</f>
        <v>2</v>
      </c>
    </row>
    <row r="3" spans="1:48" ht="18.7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5">
        <f t="shared" ref="AR3:AR34" si="0">AR2+1</f>
        <v>3</v>
      </c>
    </row>
    <row r="4" spans="1:48" ht="18.75" customHeight="1">
      <c r="A4" s="199" t="str">
        <f>INDEX(送付先一覧!A:O,MATCH(AV4,送付先一覧!A:A,0),4)</f>
        <v>特定非営利活動法人　フルハウス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5">
        <f t="shared" si="0"/>
        <v>4</v>
      </c>
      <c r="AV4" s="65">
        <v>31</v>
      </c>
    </row>
    <row r="5" spans="1:48" ht="18.75" customHeight="1">
      <c r="A5" s="202" t="str">
        <f>INDEX(送付先一覧!A:O,MATCH(AV4,送付先一覧!A:A,0),5)</f>
        <v>代表理事　飯嶋　茂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15">
        <f t="shared" si="0"/>
        <v>5</v>
      </c>
    </row>
    <row r="6" spans="1:48" ht="18.75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5">
        <f t="shared" si="0"/>
        <v>6</v>
      </c>
    </row>
    <row r="7" spans="1:48" ht="18.75" customHeight="1">
      <c r="V7" s="199" t="str">
        <f>'1'!$V$7</f>
        <v>仙台市健康福祉局障害福祉部障害企画課長　　</v>
      </c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5">
        <f t="shared" si="0"/>
        <v>7</v>
      </c>
    </row>
    <row r="8" spans="1:48" ht="18.75" customHeight="1">
      <c r="V8" s="199" t="str">
        <f>'1'!$V$8</f>
        <v>仙台市健康福祉局障害福祉部障害者支援課長　</v>
      </c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5">
        <f t="shared" si="0"/>
        <v>8</v>
      </c>
    </row>
    <row r="9" spans="1:48" ht="18.7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5">
        <f t="shared" si="0"/>
        <v>9</v>
      </c>
    </row>
    <row r="10" spans="1:48" ht="22.5" customHeight="1">
      <c r="A10" s="203" t="str">
        <f>'1'!$A$10</f>
        <v>令和４年度仙台市障害福祉分野のICT導入モデル事業補助金の内示について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15">
        <f t="shared" si="0"/>
        <v>10</v>
      </c>
    </row>
    <row r="11" spans="1:48" ht="18.7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5">
        <f t="shared" si="0"/>
        <v>11</v>
      </c>
    </row>
    <row r="12" spans="1:48" ht="93.75" customHeight="1">
      <c r="A12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15">
        <f t="shared" si="0"/>
        <v>12</v>
      </c>
    </row>
    <row r="13" spans="1:48" ht="18.7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5">
        <f t="shared" si="0"/>
        <v>13</v>
      </c>
    </row>
    <row r="14" spans="1:48" ht="18.75" customHeight="1">
      <c r="A14" s="197" t="str">
        <f>'1'!$A$14</f>
        <v>記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5">
        <f t="shared" si="0"/>
        <v>14</v>
      </c>
    </row>
    <row r="15" spans="1:48" ht="18.7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5">
        <f t="shared" si="0"/>
        <v>15</v>
      </c>
    </row>
    <row r="16" spans="1:48" ht="18.75" customHeight="1">
      <c r="I16" s="199" t="str">
        <f>'1'!$I$16</f>
        <v>補助内示額</v>
      </c>
      <c r="J16" s="199"/>
      <c r="K16" s="199"/>
      <c r="L16" s="199"/>
      <c r="M16" s="199"/>
      <c r="N16" s="199"/>
      <c r="S16" s="206">
        <f>INDEX(送付先一覧!A:O,MATCH(AV4,送付先一覧!A:A,0),12)</f>
        <v>666000</v>
      </c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199"/>
      <c r="AG16" s="199"/>
      <c r="AH16" s="199"/>
      <c r="AI16" s="199"/>
      <c r="AR16" s="15">
        <f t="shared" si="0"/>
        <v>16</v>
      </c>
    </row>
    <row r="17" spans="1:44" ht="18.75" customHeight="1">
      <c r="I17" s="199" t="str">
        <f>'1'!$I$17</f>
        <v>事業種別</v>
      </c>
      <c r="J17" s="199"/>
      <c r="K17" s="199"/>
      <c r="L17" s="199"/>
      <c r="M17" s="199"/>
      <c r="N17" s="199"/>
      <c r="O17" s="199"/>
      <c r="P17" s="199"/>
      <c r="Q17" s="199"/>
      <c r="R17" s="199"/>
      <c r="S17" s="199" t="str">
        <f>INDEX(送付先一覧!A:O,MATCH(AV4,送付先一覧!A:A,0),9)</f>
        <v>就労継続支援B型</v>
      </c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R17" s="15">
        <f t="shared" si="0"/>
        <v>17</v>
      </c>
    </row>
    <row r="18" spans="1:44" ht="18.75" customHeight="1">
      <c r="I18" s="199" t="str">
        <f>'1'!$I$18</f>
        <v>事業所名</v>
      </c>
      <c r="J18" s="199"/>
      <c r="K18" s="199"/>
      <c r="L18" s="199"/>
      <c r="M18" s="199"/>
      <c r="N18" s="199"/>
      <c r="O18" s="199"/>
      <c r="P18" s="199"/>
      <c r="Q18" s="199"/>
      <c r="R18" s="199"/>
      <c r="S18" s="204" t="str">
        <f>INDEX(送付先一覧!A:O,MATCH(AV4,送付先一覧!A:A,0),8)</f>
        <v>コッペ</v>
      </c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15">
        <f t="shared" si="0"/>
        <v>18</v>
      </c>
    </row>
    <row r="19" spans="1:44" ht="18.75" customHeight="1"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15">
        <f t="shared" si="0"/>
        <v>19</v>
      </c>
    </row>
    <row r="20" spans="1:44" ht="18.75" customHeight="1"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R20" s="15">
        <f t="shared" si="0"/>
        <v>20</v>
      </c>
    </row>
    <row r="21" spans="1:44" ht="18.7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5">
        <f t="shared" si="0"/>
        <v>21</v>
      </c>
    </row>
    <row r="22" spans="1:44" ht="18.75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5">
        <f t="shared" si="0"/>
        <v>22</v>
      </c>
    </row>
    <row r="23" spans="1:44" ht="18.75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5">
        <f t="shared" si="0"/>
        <v>23</v>
      </c>
    </row>
    <row r="24" spans="1:44" ht="18.75" customHeight="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5">
        <f t="shared" si="0"/>
        <v>24</v>
      </c>
    </row>
    <row r="25" spans="1:44" ht="18.7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5">
        <f t="shared" si="0"/>
        <v>25</v>
      </c>
    </row>
    <row r="26" spans="1:44" ht="18.7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5">
        <f t="shared" si="0"/>
        <v>26</v>
      </c>
    </row>
    <row r="27" spans="1:44" ht="18.75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5">
        <f t="shared" si="0"/>
        <v>27</v>
      </c>
    </row>
    <row r="28" spans="1:44" ht="18.7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5">
        <f t="shared" si="0"/>
        <v>28</v>
      </c>
    </row>
    <row r="29" spans="1:44" ht="18.75" customHeight="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5">
        <f t="shared" si="0"/>
        <v>29</v>
      </c>
    </row>
    <row r="30" spans="1:44" ht="18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5">
        <f t="shared" si="0"/>
        <v>30</v>
      </c>
    </row>
    <row r="31" spans="1:44" ht="18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5">
        <f t="shared" si="0"/>
        <v>31</v>
      </c>
    </row>
    <row r="32" spans="1:44" ht="18.75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5">
        <f t="shared" si="0"/>
        <v>32</v>
      </c>
    </row>
    <row r="33" spans="1:48" ht="18.7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5">
        <f t="shared" si="0"/>
        <v>33</v>
      </c>
    </row>
    <row r="34" spans="1:48" ht="18.7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5">
        <f t="shared" si="0"/>
        <v>34</v>
      </c>
    </row>
    <row r="35" spans="1:48" ht="16.5" customHeight="1">
      <c r="A35" s="197"/>
      <c r="B35" s="197"/>
      <c r="AI35" s="200" t="str">
        <f>'1'!$AI$1</f>
        <v>R4健障障第100号</v>
      </c>
      <c r="AJ35" s="200"/>
      <c r="AK35" s="200"/>
      <c r="AL35" s="200"/>
      <c r="AM35" s="200"/>
      <c r="AN35" s="200"/>
      <c r="AO35" s="200"/>
      <c r="AP35" s="200"/>
      <c r="AQ35" s="200"/>
      <c r="AR35" s="15">
        <v>1</v>
      </c>
    </row>
    <row r="36" spans="1:48" ht="16.5" customHeight="1">
      <c r="A36" s="197"/>
      <c r="B36" s="197"/>
      <c r="AI36" s="201">
        <f>'1'!$AI$2</f>
        <v>44677</v>
      </c>
      <c r="AJ36" s="201"/>
      <c r="AK36" s="201"/>
      <c r="AL36" s="201"/>
      <c r="AM36" s="201"/>
      <c r="AN36" s="201"/>
      <c r="AO36" s="201"/>
      <c r="AP36" s="201"/>
      <c r="AQ36" s="201"/>
      <c r="AR36" s="15">
        <f>AR35+1</f>
        <v>2</v>
      </c>
    </row>
    <row r="37" spans="1:48" ht="18.75" customHeight="1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5">
        <f t="shared" ref="AR37:AR68" si="1">AR36+1</f>
        <v>3</v>
      </c>
    </row>
    <row r="38" spans="1:48" ht="18.75" customHeight="1">
      <c r="A38" s="199" t="str">
        <f>INDEX(送付先一覧!A:O,MATCH(AV38,送付先一覧!A:A,0),4)</f>
        <v>特定非営利活動法人　フルハウス</v>
      </c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5">
        <f t="shared" si="1"/>
        <v>4</v>
      </c>
      <c r="AV38" s="65">
        <f>AV4+1</f>
        <v>32</v>
      </c>
    </row>
    <row r="39" spans="1:48" ht="18.75" customHeight="1">
      <c r="A39" s="202" t="str">
        <f>INDEX(送付先一覧!A:O,MATCH(AV38,送付先一覧!A:A,0),5)</f>
        <v>代表理事　飯嶋　茂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15">
        <f t="shared" si="1"/>
        <v>5</v>
      </c>
    </row>
    <row r="40" spans="1:48" ht="18.75" customHeight="1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5">
        <f t="shared" si="1"/>
        <v>6</v>
      </c>
    </row>
    <row r="41" spans="1:48" ht="18.75" customHeight="1">
      <c r="V41" s="199" t="str">
        <f>'1'!$V$7</f>
        <v>仙台市健康福祉局障害福祉部障害企画課長　　</v>
      </c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5">
        <f t="shared" si="1"/>
        <v>7</v>
      </c>
    </row>
    <row r="42" spans="1:48" ht="18.75" customHeight="1">
      <c r="V42" s="199" t="str">
        <f>'1'!$V$8</f>
        <v>仙台市健康福祉局障害福祉部障害者支援課長　</v>
      </c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5">
        <f t="shared" si="1"/>
        <v>8</v>
      </c>
    </row>
    <row r="43" spans="1:48" ht="18.75" customHeight="1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5">
        <f t="shared" si="1"/>
        <v>9</v>
      </c>
    </row>
    <row r="44" spans="1:48" ht="22.5" customHeight="1">
      <c r="A44" s="203" t="str">
        <f>'1'!$A$10</f>
        <v>令和４年度仙台市障害福祉分野のICT導入モデル事業補助金の内示について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15">
        <f t="shared" si="1"/>
        <v>10</v>
      </c>
    </row>
    <row r="45" spans="1:48" ht="18.75" customHeight="1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5">
        <f t="shared" si="1"/>
        <v>11</v>
      </c>
    </row>
    <row r="46" spans="1:48" ht="93.75" customHeight="1">
      <c r="A46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15">
        <f t="shared" si="1"/>
        <v>12</v>
      </c>
    </row>
    <row r="47" spans="1:48" ht="18.75" customHeight="1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5">
        <f t="shared" si="1"/>
        <v>13</v>
      </c>
    </row>
    <row r="48" spans="1:48" ht="18.75" customHeight="1">
      <c r="A48" s="197" t="str">
        <f>'1'!$A$14</f>
        <v>記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5">
        <f t="shared" si="1"/>
        <v>14</v>
      </c>
    </row>
    <row r="49" spans="1:44" ht="18.75" customHeight="1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5">
        <f t="shared" si="1"/>
        <v>15</v>
      </c>
    </row>
    <row r="50" spans="1:44" ht="18.75" customHeight="1">
      <c r="I50" s="199" t="str">
        <f>'1'!$I$16</f>
        <v>補助内示額</v>
      </c>
      <c r="J50" s="199"/>
      <c r="K50" s="199"/>
      <c r="L50" s="199"/>
      <c r="M50" s="199"/>
      <c r="N50" s="199"/>
      <c r="S50" s="206">
        <f>INDEX(送付先一覧!A:O,MATCH(AV38,送付先一覧!A:A,0),12)</f>
        <v>338000</v>
      </c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199"/>
      <c r="AG50" s="199"/>
      <c r="AH50" s="199"/>
      <c r="AI50" s="199"/>
      <c r="AR50" s="15">
        <f t="shared" si="1"/>
        <v>16</v>
      </c>
    </row>
    <row r="51" spans="1:44" ht="18.75" customHeight="1">
      <c r="I51" s="199" t="str">
        <f>'1'!$I$17</f>
        <v>事業種別</v>
      </c>
      <c r="J51" s="199"/>
      <c r="K51" s="199"/>
      <c r="L51" s="199"/>
      <c r="M51" s="199"/>
      <c r="N51" s="199"/>
      <c r="O51" s="199"/>
      <c r="P51" s="199"/>
      <c r="Q51" s="199"/>
      <c r="R51" s="199"/>
      <c r="S51" s="199" t="str">
        <f>INDEX(送付先一覧!A:O,MATCH(AV38,送付先一覧!A:A,0),9)</f>
        <v>就労継続支援B型</v>
      </c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R51" s="15">
        <f t="shared" si="1"/>
        <v>17</v>
      </c>
    </row>
    <row r="52" spans="1:44" ht="18.75" customHeight="1">
      <c r="I52" s="199" t="str">
        <f>'1'!$I$18</f>
        <v>事業所名</v>
      </c>
      <c r="J52" s="199"/>
      <c r="K52" s="199"/>
      <c r="L52" s="199"/>
      <c r="M52" s="199"/>
      <c r="N52" s="199"/>
      <c r="O52" s="199"/>
      <c r="P52" s="199"/>
      <c r="Q52" s="199"/>
      <c r="R52" s="199"/>
      <c r="S52" s="204" t="str">
        <f>INDEX(送付先一覧!A:O,MATCH(AV38,送付先一覧!A:A,0),8)</f>
        <v>フリースペースソレイユ</v>
      </c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15">
        <f t="shared" si="1"/>
        <v>18</v>
      </c>
    </row>
    <row r="53" spans="1:44" ht="18.75" customHeight="1"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15">
        <f t="shared" si="1"/>
        <v>19</v>
      </c>
    </row>
    <row r="54" spans="1:44" ht="18.75" customHeight="1"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198"/>
      <c r="AR54" s="15">
        <f t="shared" si="1"/>
        <v>20</v>
      </c>
    </row>
    <row r="55" spans="1:44" ht="18.75" customHeight="1">
      <c r="A55" s="198"/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5">
        <f t="shared" si="1"/>
        <v>21</v>
      </c>
    </row>
    <row r="56" spans="1:44" ht="18.75" customHeight="1">
      <c r="A56" s="198"/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5">
        <f t="shared" si="1"/>
        <v>22</v>
      </c>
    </row>
    <row r="57" spans="1:44" ht="18.75" customHeight="1">
      <c r="A57" s="198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5">
        <f t="shared" si="1"/>
        <v>23</v>
      </c>
    </row>
    <row r="58" spans="1:44" ht="18.75" customHeight="1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5">
        <f t="shared" si="1"/>
        <v>24</v>
      </c>
    </row>
    <row r="59" spans="1:44" ht="18.75" customHeight="1">
      <c r="A59" s="198"/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5">
        <f t="shared" si="1"/>
        <v>25</v>
      </c>
    </row>
    <row r="60" spans="1:44" ht="18.75" customHeight="1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5">
        <f t="shared" si="1"/>
        <v>26</v>
      </c>
    </row>
    <row r="61" spans="1:44" ht="18.75" customHeight="1">
      <c r="A61" s="198"/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5">
        <f t="shared" si="1"/>
        <v>27</v>
      </c>
    </row>
    <row r="62" spans="1:44" ht="18.75" customHeight="1">
      <c r="A62" s="198"/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5">
        <f t="shared" si="1"/>
        <v>28</v>
      </c>
    </row>
    <row r="63" spans="1:44" ht="18.75" customHeight="1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5">
        <f t="shared" si="1"/>
        <v>29</v>
      </c>
    </row>
    <row r="64" spans="1:44" ht="18.75" customHeight="1">
      <c r="A64" s="198"/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5">
        <f t="shared" si="1"/>
        <v>30</v>
      </c>
    </row>
    <row r="65" spans="1:44" ht="18.75" customHeight="1">
      <c r="A65" s="198"/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5">
        <f t="shared" si="1"/>
        <v>31</v>
      </c>
    </row>
    <row r="66" spans="1:44" ht="18.75" customHeight="1">
      <c r="A66" s="198"/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5">
        <f t="shared" si="1"/>
        <v>32</v>
      </c>
    </row>
    <row r="67" spans="1:44" ht="18.75" customHeight="1">
      <c r="A67" s="198"/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5">
        <f t="shared" si="1"/>
        <v>33</v>
      </c>
    </row>
    <row r="68" spans="1:44" ht="18.75" customHeight="1">
      <c r="A68" s="198"/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5">
        <f t="shared" si="1"/>
        <v>34</v>
      </c>
    </row>
    <row r="69" spans="1:44" ht="16.5" customHeight="1"/>
    <row r="70" spans="1:44" ht="16.5" customHeight="1"/>
    <row r="71" spans="1:44" ht="16.5" customHeight="1"/>
    <row r="72" spans="1:44" ht="16.5" customHeight="1"/>
    <row r="73" spans="1:44" ht="16.5" customHeight="1"/>
    <row r="74" spans="1:44" ht="16.5" customHeight="1"/>
    <row r="75" spans="1:44" ht="16.5" customHeight="1"/>
    <row r="76" spans="1:44" ht="16.5" customHeight="1"/>
    <row r="77" spans="1:44" ht="16.5" customHeight="1"/>
    <row r="78" spans="1:44" ht="16.5" customHeight="1"/>
    <row r="79" spans="1:44" ht="16.5" customHeight="1"/>
    <row r="80" spans="1:44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</sheetData>
  <sheetProtection formatCells="0" selectLockedCells="1"/>
  <mergeCells count="86">
    <mergeCell ref="A64:AQ64"/>
    <mergeCell ref="A65:AQ65"/>
    <mergeCell ref="A66:AQ66"/>
    <mergeCell ref="A67:AQ67"/>
    <mergeCell ref="A68:AQ68"/>
    <mergeCell ref="A63:AQ63"/>
    <mergeCell ref="I53:R53"/>
    <mergeCell ref="I54:R54"/>
    <mergeCell ref="S54:AI54"/>
    <mergeCell ref="A55:AQ55"/>
    <mergeCell ref="A56:AQ56"/>
    <mergeCell ref="A57:AQ57"/>
    <mergeCell ref="A58:AQ58"/>
    <mergeCell ref="A59:AQ59"/>
    <mergeCell ref="A60:AQ60"/>
    <mergeCell ref="A61:AQ61"/>
    <mergeCell ref="A62:AQ62"/>
    <mergeCell ref="I51:N51"/>
    <mergeCell ref="O51:R51"/>
    <mergeCell ref="S51:AP51"/>
    <mergeCell ref="I52:N52"/>
    <mergeCell ref="O52:R52"/>
    <mergeCell ref="S52:AQ52"/>
    <mergeCell ref="A47:AQ47"/>
    <mergeCell ref="A48:AQ48"/>
    <mergeCell ref="A49:AQ49"/>
    <mergeCell ref="I50:N50"/>
    <mergeCell ref="S50:AE50"/>
    <mergeCell ref="AF50:AI50"/>
    <mergeCell ref="A46:AQ46"/>
    <mergeCell ref="A36:B36"/>
    <mergeCell ref="AI36:AQ36"/>
    <mergeCell ref="A37:AQ37"/>
    <mergeCell ref="A38:AQ38"/>
    <mergeCell ref="A39:AQ39"/>
    <mergeCell ref="A40:AQ40"/>
    <mergeCell ref="V41:AQ41"/>
    <mergeCell ref="V42:AQ42"/>
    <mergeCell ref="A43:AQ43"/>
    <mergeCell ref="A44:AQ44"/>
    <mergeCell ref="A45:AQ45"/>
    <mergeCell ref="A35:B35"/>
    <mergeCell ref="AI35:AQ35"/>
    <mergeCell ref="A24:AQ24"/>
    <mergeCell ref="A25:AQ25"/>
    <mergeCell ref="A26:AQ26"/>
    <mergeCell ref="A27:AQ27"/>
    <mergeCell ref="A28:AQ28"/>
    <mergeCell ref="A29:AQ29"/>
    <mergeCell ref="A30:AQ30"/>
    <mergeCell ref="A31:AQ31"/>
    <mergeCell ref="A32:AQ32"/>
    <mergeCell ref="A33:AQ33"/>
    <mergeCell ref="A34:AQ34"/>
    <mergeCell ref="A23:AQ23"/>
    <mergeCell ref="I17:N17"/>
    <mergeCell ref="O17:R17"/>
    <mergeCell ref="S17:AP17"/>
    <mergeCell ref="I18:N18"/>
    <mergeCell ref="O18:R18"/>
    <mergeCell ref="S18:AQ18"/>
    <mergeCell ref="I19:R19"/>
    <mergeCell ref="I20:R20"/>
    <mergeCell ref="S20:AI20"/>
    <mergeCell ref="A21:AQ21"/>
    <mergeCell ref="A22:AQ22"/>
    <mergeCell ref="I16:N16"/>
    <mergeCell ref="S16:AE16"/>
    <mergeCell ref="AF16:AI16"/>
    <mergeCell ref="A5:AQ5"/>
    <mergeCell ref="A6:AQ6"/>
    <mergeCell ref="V7:AQ7"/>
    <mergeCell ref="V8:AQ8"/>
    <mergeCell ref="A9:AQ9"/>
    <mergeCell ref="A10:AQ10"/>
    <mergeCell ref="A11:AQ11"/>
    <mergeCell ref="A12:AQ12"/>
    <mergeCell ref="A13:AQ13"/>
    <mergeCell ref="A14:AQ14"/>
    <mergeCell ref="A15:AQ15"/>
    <mergeCell ref="A4:AQ4"/>
    <mergeCell ref="A1:B1"/>
    <mergeCell ref="AI1:AQ1"/>
    <mergeCell ref="A2:B2"/>
    <mergeCell ref="AI2:AQ2"/>
    <mergeCell ref="A3:AQ3"/>
  </mergeCells>
  <phoneticPr fontId="1"/>
  <pageMargins left="0.98425196850393704" right="0.98425196850393704" top="1.3779527559055118" bottom="1.1811023622047245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>
    <tabColor rgb="FFFFC000"/>
  </sheetPr>
  <dimension ref="A1:AV212"/>
  <sheetViews>
    <sheetView showGridLines="0" view="pageBreakPreview" zoomScaleNormal="100" zoomScaleSheetLayoutView="100" workbookViewId="0">
      <selection activeCell="V7" sqref="V7:AQ7"/>
    </sheetView>
  </sheetViews>
  <sheetFormatPr defaultColWidth="9" defaultRowHeight="22.5" customHeight="1"/>
  <cols>
    <col min="1" max="43" width="1.90625" style="13" customWidth="1"/>
    <col min="44" max="44" width="3.36328125" style="15" customWidth="1"/>
    <col min="45" max="47" width="1.90625" style="13" customWidth="1"/>
    <col min="48" max="48" width="6.26953125" style="13" customWidth="1"/>
    <col min="49" max="49" width="25" style="13" customWidth="1"/>
    <col min="50" max="16384" width="9" style="13"/>
  </cols>
  <sheetData>
    <row r="1" spans="1:48" ht="16.5" customHeight="1">
      <c r="A1" s="197"/>
      <c r="B1" s="197"/>
      <c r="AI1" s="200" t="str">
        <f>'1'!$AI$1</f>
        <v>R4健障障第100号</v>
      </c>
      <c r="AJ1" s="200"/>
      <c r="AK1" s="200"/>
      <c r="AL1" s="200"/>
      <c r="AM1" s="200"/>
      <c r="AN1" s="200"/>
      <c r="AO1" s="200"/>
      <c r="AP1" s="200"/>
      <c r="AQ1" s="200"/>
      <c r="AR1" s="15">
        <v>1</v>
      </c>
    </row>
    <row r="2" spans="1:48" ht="16.5" customHeight="1">
      <c r="A2" s="197"/>
      <c r="B2" s="197"/>
      <c r="AI2" s="201">
        <f>'1'!$AI$2</f>
        <v>44677</v>
      </c>
      <c r="AJ2" s="201"/>
      <c r="AK2" s="201"/>
      <c r="AL2" s="201"/>
      <c r="AM2" s="201"/>
      <c r="AN2" s="201"/>
      <c r="AO2" s="201"/>
      <c r="AP2" s="201"/>
      <c r="AQ2" s="201"/>
      <c r="AR2" s="15">
        <f>AR1+1</f>
        <v>2</v>
      </c>
    </row>
    <row r="3" spans="1:48" ht="18.7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5">
        <f t="shared" ref="AR3:AR34" si="0">AR2+1</f>
        <v>3</v>
      </c>
    </row>
    <row r="4" spans="1:48" ht="18.75" customHeight="1">
      <c r="A4" s="199" t="str">
        <f>INDEX(送付先一覧!A:O,MATCH(AV4,送付先一覧!A:A,0),4)</f>
        <v>特定非営利活動法人シャロームの会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5">
        <f t="shared" si="0"/>
        <v>4</v>
      </c>
      <c r="AV4" s="65">
        <v>33</v>
      </c>
    </row>
    <row r="5" spans="1:48" ht="18.75" customHeight="1">
      <c r="A5" s="202" t="str">
        <f>INDEX(送付先一覧!A:O,MATCH(AV4,送付先一覧!A:A,0),5)</f>
        <v>理事長　菊地　茂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15">
        <f t="shared" si="0"/>
        <v>5</v>
      </c>
    </row>
    <row r="6" spans="1:48" ht="18.75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5">
        <f t="shared" si="0"/>
        <v>6</v>
      </c>
    </row>
    <row r="7" spans="1:48" ht="18.75" customHeight="1">
      <c r="V7" s="199" t="str">
        <f>'1'!$V$7</f>
        <v>仙台市健康福祉局障害福祉部障害企画課長　　</v>
      </c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5">
        <f t="shared" si="0"/>
        <v>7</v>
      </c>
    </row>
    <row r="8" spans="1:48" ht="18.75" customHeight="1">
      <c r="V8" s="199" t="str">
        <f>'1'!$V$8</f>
        <v>仙台市健康福祉局障害福祉部障害者支援課長　</v>
      </c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5">
        <f t="shared" si="0"/>
        <v>8</v>
      </c>
    </row>
    <row r="9" spans="1:48" ht="18.7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5">
        <f t="shared" si="0"/>
        <v>9</v>
      </c>
    </row>
    <row r="10" spans="1:48" ht="22.5" customHeight="1">
      <c r="A10" s="203" t="str">
        <f>'1'!$A$10</f>
        <v>令和４年度仙台市障害福祉分野のICT導入モデル事業補助金の内示について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15">
        <f t="shared" si="0"/>
        <v>10</v>
      </c>
    </row>
    <row r="11" spans="1:48" ht="18.7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5">
        <f t="shared" si="0"/>
        <v>11</v>
      </c>
    </row>
    <row r="12" spans="1:48" ht="93.75" customHeight="1">
      <c r="A12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15">
        <f t="shared" si="0"/>
        <v>12</v>
      </c>
    </row>
    <row r="13" spans="1:48" ht="18.7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5">
        <f t="shared" si="0"/>
        <v>13</v>
      </c>
    </row>
    <row r="14" spans="1:48" ht="18.75" customHeight="1">
      <c r="A14" s="197" t="str">
        <f>'1'!$A$14</f>
        <v>記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5">
        <f t="shared" si="0"/>
        <v>14</v>
      </c>
    </row>
    <row r="15" spans="1:48" ht="18.7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5">
        <f t="shared" si="0"/>
        <v>15</v>
      </c>
    </row>
    <row r="16" spans="1:48" ht="18.75" customHeight="1">
      <c r="I16" s="199" t="str">
        <f>'1'!$I$16</f>
        <v>補助内示額</v>
      </c>
      <c r="J16" s="199"/>
      <c r="K16" s="199"/>
      <c r="L16" s="199"/>
      <c r="M16" s="199"/>
      <c r="N16" s="199"/>
      <c r="S16" s="206">
        <f>INDEX(送付先一覧!A:O,MATCH(AV4,送付先一覧!A:A,0),12)</f>
        <v>666000</v>
      </c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199"/>
      <c r="AG16" s="199"/>
      <c r="AH16" s="199"/>
      <c r="AI16" s="199"/>
      <c r="AR16" s="15">
        <f t="shared" si="0"/>
        <v>16</v>
      </c>
    </row>
    <row r="17" spans="1:44" ht="18.75" customHeight="1">
      <c r="I17" s="199" t="str">
        <f>'1'!$I$17</f>
        <v>事業種別</v>
      </c>
      <c r="J17" s="199"/>
      <c r="K17" s="199"/>
      <c r="L17" s="199"/>
      <c r="M17" s="199"/>
      <c r="N17" s="199"/>
      <c r="O17" s="199"/>
      <c r="P17" s="199"/>
      <c r="Q17" s="199"/>
      <c r="R17" s="199"/>
      <c r="S17" s="199" t="str">
        <f>INDEX(送付先一覧!A:O,MATCH(AV4,送付先一覧!A:A,0),9)</f>
        <v>就労継続支援B型</v>
      </c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R17" s="15">
        <f t="shared" si="0"/>
        <v>17</v>
      </c>
    </row>
    <row r="18" spans="1:44" ht="18.75" customHeight="1">
      <c r="I18" s="199" t="str">
        <f>'1'!$I$18</f>
        <v>事業所名</v>
      </c>
      <c r="J18" s="199"/>
      <c r="K18" s="199"/>
      <c r="L18" s="199"/>
      <c r="M18" s="199"/>
      <c r="N18" s="199"/>
      <c r="O18" s="199"/>
      <c r="P18" s="199"/>
      <c r="Q18" s="199"/>
      <c r="R18" s="199"/>
      <c r="S18" s="204" t="str">
        <f>INDEX(送付先一覧!A:O,MATCH(AV4,送付先一覧!A:A,0),8)</f>
        <v>アトリエぶどうの木</v>
      </c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15">
        <f t="shared" si="0"/>
        <v>18</v>
      </c>
    </row>
    <row r="19" spans="1:44" ht="18.75" customHeight="1"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15">
        <f t="shared" si="0"/>
        <v>19</v>
      </c>
    </row>
    <row r="20" spans="1:44" ht="18.75" customHeight="1"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R20" s="15">
        <f t="shared" si="0"/>
        <v>20</v>
      </c>
    </row>
    <row r="21" spans="1:44" ht="18.7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5">
        <f t="shared" si="0"/>
        <v>21</v>
      </c>
    </row>
    <row r="22" spans="1:44" ht="18.75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5">
        <f t="shared" si="0"/>
        <v>22</v>
      </c>
    </row>
    <row r="23" spans="1:44" ht="18.75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5">
        <f t="shared" si="0"/>
        <v>23</v>
      </c>
    </row>
    <row r="24" spans="1:44" ht="18.75" customHeight="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5">
        <f t="shared" si="0"/>
        <v>24</v>
      </c>
    </row>
    <row r="25" spans="1:44" ht="18.7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5">
        <f t="shared" si="0"/>
        <v>25</v>
      </c>
    </row>
    <row r="26" spans="1:44" ht="18.7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5">
        <f t="shared" si="0"/>
        <v>26</v>
      </c>
    </row>
    <row r="27" spans="1:44" ht="18.75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5">
        <f t="shared" si="0"/>
        <v>27</v>
      </c>
    </row>
    <row r="28" spans="1:44" ht="18.7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5">
        <f t="shared" si="0"/>
        <v>28</v>
      </c>
    </row>
    <row r="29" spans="1:44" ht="18.75" customHeight="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5">
        <f t="shared" si="0"/>
        <v>29</v>
      </c>
    </row>
    <row r="30" spans="1:44" ht="18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5">
        <f t="shared" si="0"/>
        <v>30</v>
      </c>
    </row>
    <row r="31" spans="1:44" ht="18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5">
        <f t="shared" si="0"/>
        <v>31</v>
      </c>
    </row>
    <row r="32" spans="1:44" ht="18.75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5">
        <f t="shared" si="0"/>
        <v>32</v>
      </c>
    </row>
    <row r="33" spans="1:48" ht="18.7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5">
        <f t="shared" si="0"/>
        <v>33</v>
      </c>
    </row>
    <row r="34" spans="1:48" ht="18.7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5">
        <f t="shared" si="0"/>
        <v>34</v>
      </c>
    </row>
    <row r="35" spans="1:48" ht="16.5" customHeight="1">
      <c r="A35" s="197"/>
      <c r="B35" s="197"/>
      <c r="AI35" s="200" t="str">
        <f>'1'!$AI$1</f>
        <v>R4健障障第100号</v>
      </c>
      <c r="AJ35" s="200"/>
      <c r="AK35" s="200"/>
      <c r="AL35" s="200"/>
      <c r="AM35" s="200"/>
      <c r="AN35" s="200"/>
      <c r="AO35" s="200"/>
      <c r="AP35" s="200"/>
      <c r="AQ35" s="200"/>
      <c r="AR35" s="15">
        <v>1</v>
      </c>
    </row>
    <row r="36" spans="1:48" ht="16.5" customHeight="1">
      <c r="A36" s="197"/>
      <c r="B36" s="197"/>
      <c r="AI36" s="201">
        <f>'1'!$AI$2</f>
        <v>44677</v>
      </c>
      <c r="AJ36" s="201"/>
      <c r="AK36" s="201"/>
      <c r="AL36" s="201"/>
      <c r="AM36" s="201"/>
      <c r="AN36" s="201"/>
      <c r="AO36" s="201"/>
      <c r="AP36" s="201"/>
      <c r="AQ36" s="201"/>
      <c r="AR36" s="15">
        <f>AR35+1</f>
        <v>2</v>
      </c>
    </row>
    <row r="37" spans="1:48" ht="18.75" customHeight="1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5">
        <f t="shared" ref="AR37:AR68" si="1">AR36+1</f>
        <v>3</v>
      </c>
    </row>
    <row r="38" spans="1:48" ht="18.75" customHeight="1">
      <c r="A38" s="199" t="str">
        <f>INDEX(送付先一覧!A:O,MATCH(AV38,送付先一覧!A:A,0),4)</f>
        <v>特定非営利活動法人シャロームの会</v>
      </c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5">
        <f t="shared" si="1"/>
        <v>4</v>
      </c>
      <c r="AV38" s="65">
        <f>AV4+1</f>
        <v>34</v>
      </c>
    </row>
    <row r="39" spans="1:48" ht="18.75" customHeight="1">
      <c r="A39" s="202" t="str">
        <f>INDEX(送付先一覧!A:O,MATCH(AV38,送付先一覧!A:A,0),5)</f>
        <v>理事長　菊地　茂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15">
        <f t="shared" si="1"/>
        <v>5</v>
      </c>
    </row>
    <row r="40" spans="1:48" ht="18.75" customHeight="1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5">
        <f t="shared" si="1"/>
        <v>6</v>
      </c>
    </row>
    <row r="41" spans="1:48" ht="18.75" customHeight="1">
      <c r="V41" s="199" t="str">
        <f>'1'!$V$7</f>
        <v>仙台市健康福祉局障害福祉部障害企画課長　　</v>
      </c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5">
        <f t="shared" si="1"/>
        <v>7</v>
      </c>
    </row>
    <row r="42" spans="1:48" ht="18.75" customHeight="1">
      <c r="V42" s="199" t="str">
        <f>'1'!$V$8</f>
        <v>仙台市健康福祉局障害福祉部障害者支援課長　</v>
      </c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5">
        <f t="shared" si="1"/>
        <v>8</v>
      </c>
    </row>
    <row r="43" spans="1:48" ht="18.75" customHeight="1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5">
        <f t="shared" si="1"/>
        <v>9</v>
      </c>
    </row>
    <row r="44" spans="1:48" ht="22.5" customHeight="1">
      <c r="A44" s="203" t="str">
        <f>'1'!$A$10</f>
        <v>令和４年度仙台市障害福祉分野のICT導入モデル事業補助金の内示について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15">
        <f t="shared" si="1"/>
        <v>10</v>
      </c>
    </row>
    <row r="45" spans="1:48" ht="18.75" customHeight="1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5">
        <f t="shared" si="1"/>
        <v>11</v>
      </c>
    </row>
    <row r="46" spans="1:48" ht="93.75" customHeight="1">
      <c r="A46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15">
        <f t="shared" si="1"/>
        <v>12</v>
      </c>
    </row>
    <row r="47" spans="1:48" ht="18.75" customHeight="1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5">
        <f t="shared" si="1"/>
        <v>13</v>
      </c>
    </row>
    <row r="48" spans="1:48" ht="18.75" customHeight="1">
      <c r="A48" s="197" t="str">
        <f>'1'!$A$14</f>
        <v>記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5">
        <f t="shared" si="1"/>
        <v>14</v>
      </c>
    </row>
    <row r="49" spans="1:44" ht="18.75" customHeight="1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5">
        <f t="shared" si="1"/>
        <v>15</v>
      </c>
    </row>
    <row r="50" spans="1:44" ht="18.75" customHeight="1">
      <c r="I50" s="199" t="str">
        <f>'1'!$I$16</f>
        <v>補助内示額</v>
      </c>
      <c r="J50" s="199"/>
      <c r="K50" s="199"/>
      <c r="L50" s="199"/>
      <c r="M50" s="199"/>
      <c r="N50" s="199"/>
      <c r="S50" s="206">
        <f>INDEX(送付先一覧!A:O,MATCH(AV38,送付先一覧!A:A,0),12)</f>
        <v>666000</v>
      </c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199"/>
      <c r="AG50" s="199"/>
      <c r="AH50" s="199"/>
      <c r="AI50" s="199"/>
      <c r="AR50" s="15">
        <f t="shared" si="1"/>
        <v>16</v>
      </c>
    </row>
    <row r="51" spans="1:44" ht="18.75" customHeight="1">
      <c r="I51" s="199" t="str">
        <f>'1'!$I$17</f>
        <v>事業種別</v>
      </c>
      <c r="J51" s="199"/>
      <c r="K51" s="199"/>
      <c r="L51" s="199"/>
      <c r="M51" s="199"/>
      <c r="N51" s="199"/>
      <c r="O51" s="199"/>
      <c r="P51" s="199"/>
      <c r="Q51" s="199"/>
      <c r="R51" s="199"/>
      <c r="S51" s="199" t="str">
        <f>INDEX(送付先一覧!A:O,MATCH(AV38,送付先一覧!A:A,0),9)</f>
        <v>就労移行支援</v>
      </c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R51" s="15">
        <f t="shared" si="1"/>
        <v>17</v>
      </c>
    </row>
    <row r="52" spans="1:44" ht="18.75" customHeight="1">
      <c r="I52" s="199" t="str">
        <f>'1'!$I$18</f>
        <v>事業所名</v>
      </c>
      <c r="J52" s="199"/>
      <c r="K52" s="199"/>
      <c r="L52" s="199"/>
      <c r="M52" s="199"/>
      <c r="N52" s="199"/>
      <c r="O52" s="199"/>
      <c r="P52" s="199"/>
      <c r="Q52" s="199"/>
      <c r="R52" s="199"/>
      <c r="S52" s="204" t="str">
        <f>INDEX(送付先一覧!A:O,MATCH(AV38,送付先一覧!A:A,0),8)</f>
        <v>オリーブの樹</v>
      </c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15">
        <f t="shared" si="1"/>
        <v>18</v>
      </c>
    </row>
    <row r="53" spans="1:44" ht="18.75" customHeight="1"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15">
        <f t="shared" si="1"/>
        <v>19</v>
      </c>
    </row>
    <row r="54" spans="1:44" ht="18.75" customHeight="1"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198"/>
      <c r="AR54" s="15">
        <f t="shared" si="1"/>
        <v>20</v>
      </c>
    </row>
    <row r="55" spans="1:44" ht="18.75" customHeight="1">
      <c r="A55" s="198"/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5">
        <f t="shared" si="1"/>
        <v>21</v>
      </c>
    </row>
    <row r="56" spans="1:44" ht="18.75" customHeight="1">
      <c r="A56" s="198"/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5">
        <f t="shared" si="1"/>
        <v>22</v>
      </c>
    </row>
    <row r="57" spans="1:44" ht="18.75" customHeight="1">
      <c r="A57" s="198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5">
        <f t="shared" si="1"/>
        <v>23</v>
      </c>
    </row>
    <row r="58" spans="1:44" ht="18.75" customHeight="1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5">
        <f t="shared" si="1"/>
        <v>24</v>
      </c>
    </row>
    <row r="59" spans="1:44" ht="18.75" customHeight="1">
      <c r="A59" s="198"/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5">
        <f t="shared" si="1"/>
        <v>25</v>
      </c>
    </row>
    <row r="60" spans="1:44" ht="18.75" customHeight="1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5">
        <f t="shared" si="1"/>
        <v>26</v>
      </c>
    </row>
    <row r="61" spans="1:44" ht="18.75" customHeight="1">
      <c r="A61" s="198"/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5">
        <f t="shared" si="1"/>
        <v>27</v>
      </c>
    </row>
    <row r="62" spans="1:44" ht="18.75" customHeight="1">
      <c r="A62" s="198"/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5">
        <f t="shared" si="1"/>
        <v>28</v>
      </c>
    </row>
    <row r="63" spans="1:44" ht="18.75" customHeight="1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5">
        <f t="shared" si="1"/>
        <v>29</v>
      </c>
    </row>
    <row r="64" spans="1:44" ht="18.75" customHeight="1">
      <c r="A64" s="198"/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5">
        <f t="shared" si="1"/>
        <v>30</v>
      </c>
    </row>
    <row r="65" spans="1:48" ht="18.75" customHeight="1">
      <c r="A65" s="198"/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5">
        <f t="shared" si="1"/>
        <v>31</v>
      </c>
    </row>
    <row r="66" spans="1:48" ht="18.75" customHeight="1">
      <c r="A66" s="198"/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5">
        <f t="shared" si="1"/>
        <v>32</v>
      </c>
    </row>
    <row r="67" spans="1:48" ht="18.75" customHeight="1">
      <c r="A67" s="198"/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5">
        <f t="shared" si="1"/>
        <v>33</v>
      </c>
    </row>
    <row r="68" spans="1:48" ht="18.75" customHeight="1">
      <c r="A68" s="198"/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5">
        <f t="shared" si="1"/>
        <v>34</v>
      </c>
    </row>
    <row r="69" spans="1:48" ht="16.5" customHeight="1">
      <c r="A69" s="197"/>
      <c r="B69" s="197"/>
      <c r="AI69" s="200" t="str">
        <f>'1'!$AI$1</f>
        <v>R4健障障第100号</v>
      </c>
      <c r="AJ69" s="200"/>
      <c r="AK69" s="200"/>
      <c r="AL69" s="200"/>
      <c r="AM69" s="200"/>
      <c r="AN69" s="200"/>
      <c r="AO69" s="200"/>
      <c r="AP69" s="200"/>
      <c r="AQ69" s="200"/>
      <c r="AR69" s="15">
        <v>1</v>
      </c>
    </row>
    <row r="70" spans="1:48" ht="16.5" customHeight="1">
      <c r="A70" s="197"/>
      <c r="B70" s="197"/>
      <c r="AI70" s="201">
        <f>'1'!$AI$2</f>
        <v>44677</v>
      </c>
      <c r="AJ70" s="201"/>
      <c r="AK70" s="201"/>
      <c r="AL70" s="201"/>
      <c r="AM70" s="201"/>
      <c r="AN70" s="201"/>
      <c r="AO70" s="201"/>
      <c r="AP70" s="201"/>
      <c r="AQ70" s="201"/>
      <c r="AR70" s="15">
        <f>AR69+1</f>
        <v>2</v>
      </c>
    </row>
    <row r="71" spans="1:48" ht="18.75" customHeight="1">
      <c r="A71" s="198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5">
        <f t="shared" ref="AR71:AR102" si="2">AR70+1</f>
        <v>3</v>
      </c>
    </row>
    <row r="72" spans="1:48" ht="18.75" customHeight="1">
      <c r="A72" s="199" t="str">
        <f>INDEX(送付先一覧!A:O,MATCH(AV72,送付先一覧!A:A,0),4)</f>
        <v>特定非営利活動法人シャロームの会</v>
      </c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5">
        <f t="shared" si="2"/>
        <v>4</v>
      </c>
      <c r="AV72" s="65">
        <f>AV38+1</f>
        <v>35</v>
      </c>
    </row>
    <row r="73" spans="1:48" ht="18.75" customHeight="1">
      <c r="A73" s="202" t="str">
        <f>INDEX(送付先一覧!A:O,MATCH(AV72,送付先一覧!A:A,0),5)</f>
        <v>理事長　菊地　茂</v>
      </c>
      <c r="B73" s="202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202"/>
      <c r="AD73" s="202"/>
      <c r="AE73" s="202"/>
      <c r="AF73" s="202"/>
      <c r="AG73" s="202"/>
      <c r="AH73" s="202"/>
      <c r="AI73" s="202"/>
      <c r="AJ73" s="202"/>
      <c r="AK73" s="202"/>
      <c r="AL73" s="202"/>
      <c r="AM73" s="202"/>
      <c r="AN73" s="202"/>
      <c r="AO73" s="202"/>
      <c r="AP73" s="202"/>
      <c r="AQ73" s="202"/>
      <c r="AR73" s="15">
        <f t="shared" si="2"/>
        <v>5</v>
      </c>
    </row>
    <row r="74" spans="1:48" ht="18.75" customHeight="1">
      <c r="A74" s="198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5">
        <f t="shared" si="2"/>
        <v>6</v>
      </c>
    </row>
    <row r="75" spans="1:48" ht="18.75" customHeight="1">
      <c r="V75" s="199" t="str">
        <f>'1'!$V$7</f>
        <v>仙台市健康福祉局障害福祉部障害企画課長　　</v>
      </c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5">
        <f t="shared" si="2"/>
        <v>7</v>
      </c>
    </row>
    <row r="76" spans="1:48" ht="18.75" customHeight="1">
      <c r="V76" s="199" t="str">
        <f>'1'!$V$8</f>
        <v>仙台市健康福祉局障害福祉部障害者支援課長　</v>
      </c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5">
        <f t="shared" si="2"/>
        <v>8</v>
      </c>
    </row>
    <row r="77" spans="1:48" ht="18.75" customHeight="1">
      <c r="A77" s="198"/>
      <c r="B77" s="198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5">
        <f t="shared" si="2"/>
        <v>9</v>
      </c>
    </row>
    <row r="78" spans="1:48" ht="22.5" customHeight="1">
      <c r="A78" s="203" t="str">
        <f>'1'!$A$10</f>
        <v>令和４年度仙台市障害福祉分野のICT導入モデル事業補助金の内示について</v>
      </c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15">
        <f t="shared" si="2"/>
        <v>10</v>
      </c>
    </row>
    <row r="79" spans="1:48" ht="18.75" customHeight="1">
      <c r="A79" s="198"/>
      <c r="B79" s="198"/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5">
        <f t="shared" si="2"/>
        <v>11</v>
      </c>
    </row>
    <row r="80" spans="1:48" ht="93.75" customHeight="1">
      <c r="A80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80" s="205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5">
        <f t="shared" si="2"/>
        <v>12</v>
      </c>
    </row>
    <row r="81" spans="1:44" ht="18.75" customHeight="1">
      <c r="A81" s="198"/>
      <c r="B81" s="198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5">
        <f t="shared" si="2"/>
        <v>13</v>
      </c>
    </row>
    <row r="82" spans="1:44" ht="18.75" customHeight="1">
      <c r="A82" s="197" t="str">
        <f>'1'!$A$14</f>
        <v>記</v>
      </c>
      <c r="B82" s="197"/>
      <c r="C82" s="197"/>
      <c r="D82" s="197"/>
      <c r="E82" s="197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5">
        <f t="shared" si="2"/>
        <v>14</v>
      </c>
    </row>
    <row r="83" spans="1:44" ht="18.75" customHeight="1">
      <c r="A83" s="198"/>
      <c r="B83" s="198"/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5">
        <f t="shared" si="2"/>
        <v>15</v>
      </c>
    </row>
    <row r="84" spans="1:44" ht="18.75" customHeight="1">
      <c r="I84" s="199" t="str">
        <f>'1'!$I$16</f>
        <v>補助内示額</v>
      </c>
      <c r="J84" s="199"/>
      <c r="K84" s="199"/>
      <c r="L84" s="199"/>
      <c r="M84" s="199"/>
      <c r="N84" s="199"/>
      <c r="S84" s="206">
        <f>INDEX(送付先一覧!A:O,MATCH(AV72,送付先一覧!A:A,0),12)</f>
        <v>666000</v>
      </c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199"/>
      <c r="AG84" s="199"/>
      <c r="AH84" s="199"/>
      <c r="AI84" s="199"/>
      <c r="AR84" s="15">
        <f t="shared" si="2"/>
        <v>16</v>
      </c>
    </row>
    <row r="85" spans="1:44" ht="18.75" customHeight="1">
      <c r="I85" s="199" t="str">
        <f>'1'!$I$17</f>
        <v>事業種別</v>
      </c>
      <c r="J85" s="199"/>
      <c r="K85" s="199"/>
      <c r="L85" s="199"/>
      <c r="M85" s="199"/>
      <c r="N85" s="199"/>
      <c r="O85" s="199"/>
      <c r="P85" s="199"/>
      <c r="Q85" s="199"/>
      <c r="R85" s="199"/>
      <c r="S85" s="199" t="str">
        <f>INDEX(送付先一覧!A:O,MATCH(AV72,送付先一覧!A:A,0),9)</f>
        <v>就労継続支援B型</v>
      </c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R85" s="15">
        <f t="shared" si="2"/>
        <v>17</v>
      </c>
    </row>
    <row r="86" spans="1:44" ht="18.75" customHeight="1">
      <c r="I86" s="199" t="str">
        <f>'1'!$I$18</f>
        <v>事業所名</v>
      </c>
      <c r="J86" s="199"/>
      <c r="K86" s="199"/>
      <c r="L86" s="199"/>
      <c r="M86" s="199"/>
      <c r="N86" s="199"/>
      <c r="O86" s="199"/>
      <c r="P86" s="199"/>
      <c r="Q86" s="199"/>
      <c r="R86" s="199"/>
      <c r="S86" s="204" t="str">
        <f>INDEX(送付先一覧!A:O,MATCH(AV72,送付先一覧!A:A,0),8)</f>
        <v>オリーブの実</v>
      </c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15">
        <f t="shared" si="2"/>
        <v>18</v>
      </c>
    </row>
    <row r="87" spans="1:44" ht="18.75" customHeight="1">
      <c r="I87" s="198"/>
      <c r="J87" s="198"/>
      <c r="K87" s="198"/>
      <c r="L87" s="198"/>
      <c r="M87" s="198"/>
      <c r="N87" s="198"/>
      <c r="O87" s="198"/>
      <c r="P87" s="198"/>
      <c r="Q87" s="198"/>
      <c r="R87" s="198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15">
        <f t="shared" si="2"/>
        <v>19</v>
      </c>
    </row>
    <row r="88" spans="1:44" ht="18.75" customHeight="1">
      <c r="I88" s="198"/>
      <c r="J88" s="198"/>
      <c r="K88" s="198"/>
      <c r="L88" s="198"/>
      <c r="M88" s="198"/>
      <c r="N88" s="198"/>
      <c r="O88" s="198"/>
      <c r="P88" s="198"/>
      <c r="Q88" s="198"/>
      <c r="R88" s="198"/>
      <c r="S88" s="198"/>
      <c r="T88" s="198"/>
      <c r="U88" s="198"/>
      <c r="V88" s="198"/>
      <c r="W88" s="198"/>
      <c r="X88" s="198"/>
      <c r="Y88" s="198"/>
      <c r="Z88" s="198"/>
      <c r="AA88" s="198"/>
      <c r="AB88" s="198"/>
      <c r="AC88" s="198"/>
      <c r="AD88" s="198"/>
      <c r="AE88" s="198"/>
      <c r="AF88" s="198"/>
      <c r="AG88" s="198"/>
      <c r="AH88" s="198"/>
      <c r="AI88" s="198"/>
      <c r="AR88" s="15">
        <f t="shared" si="2"/>
        <v>20</v>
      </c>
    </row>
    <row r="89" spans="1:44" ht="18.75" customHeight="1">
      <c r="A89" s="198"/>
      <c r="B89" s="198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198"/>
      <c r="Q89" s="198"/>
      <c r="R89" s="198"/>
      <c r="S89" s="198"/>
      <c r="T89" s="198"/>
      <c r="U89" s="198"/>
      <c r="V89" s="198"/>
      <c r="W89" s="198"/>
      <c r="X89" s="198"/>
      <c r="Y89" s="198"/>
      <c r="Z89" s="198"/>
      <c r="AA89" s="198"/>
      <c r="AB89" s="198"/>
      <c r="AC89" s="198"/>
      <c r="AD89" s="198"/>
      <c r="AE89" s="198"/>
      <c r="AF89" s="198"/>
      <c r="AG89" s="198"/>
      <c r="AH89" s="198"/>
      <c r="AI89" s="198"/>
      <c r="AJ89" s="198"/>
      <c r="AK89" s="198"/>
      <c r="AL89" s="198"/>
      <c r="AM89" s="198"/>
      <c r="AN89" s="198"/>
      <c r="AO89" s="198"/>
      <c r="AP89" s="198"/>
      <c r="AQ89" s="198"/>
      <c r="AR89" s="15">
        <f t="shared" si="2"/>
        <v>21</v>
      </c>
    </row>
    <row r="90" spans="1:44" ht="18.75" customHeight="1">
      <c r="A90" s="198"/>
      <c r="B90" s="198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  <c r="AA90" s="198"/>
      <c r="AB90" s="198"/>
      <c r="AC90" s="198"/>
      <c r="AD90" s="198"/>
      <c r="AE90" s="198"/>
      <c r="AF90" s="198"/>
      <c r="AG90" s="198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5">
        <f t="shared" si="2"/>
        <v>22</v>
      </c>
    </row>
    <row r="91" spans="1:44" ht="18.75" customHeight="1">
      <c r="A91" s="198"/>
      <c r="B91" s="198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8"/>
      <c r="Q91" s="198"/>
      <c r="R91" s="198"/>
      <c r="S91" s="198"/>
      <c r="T91" s="198"/>
      <c r="U91" s="198"/>
      <c r="V91" s="198"/>
      <c r="W91" s="198"/>
      <c r="X91" s="198"/>
      <c r="Y91" s="198"/>
      <c r="Z91" s="198"/>
      <c r="AA91" s="198"/>
      <c r="AB91" s="198"/>
      <c r="AC91" s="198"/>
      <c r="AD91" s="198"/>
      <c r="AE91" s="198"/>
      <c r="AF91" s="198"/>
      <c r="AG91" s="198"/>
      <c r="AH91" s="198"/>
      <c r="AI91" s="198"/>
      <c r="AJ91" s="198"/>
      <c r="AK91" s="198"/>
      <c r="AL91" s="198"/>
      <c r="AM91" s="198"/>
      <c r="AN91" s="198"/>
      <c r="AO91" s="198"/>
      <c r="AP91" s="198"/>
      <c r="AQ91" s="198"/>
      <c r="AR91" s="15">
        <f t="shared" si="2"/>
        <v>23</v>
      </c>
    </row>
    <row r="92" spans="1:44" ht="18.75" customHeight="1">
      <c r="A92" s="198"/>
      <c r="B92" s="198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198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5">
        <f t="shared" si="2"/>
        <v>24</v>
      </c>
    </row>
    <row r="93" spans="1:44" ht="18.75" customHeight="1">
      <c r="A93" s="198"/>
      <c r="B93" s="198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198"/>
      <c r="Y93" s="198"/>
      <c r="Z93" s="198"/>
      <c r="AA93" s="198"/>
      <c r="AB93" s="198"/>
      <c r="AC93" s="198"/>
      <c r="AD93" s="198"/>
      <c r="AE93" s="198"/>
      <c r="AF93" s="198"/>
      <c r="AG93" s="198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5">
        <f t="shared" si="2"/>
        <v>25</v>
      </c>
    </row>
    <row r="94" spans="1:44" ht="18.75" customHeight="1">
      <c r="A94" s="198"/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98"/>
      <c r="AE94" s="198"/>
      <c r="AF94" s="198"/>
      <c r="AG94" s="198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5">
        <f t="shared" si="2"/>
        <v>26</v>
      </c>
    </row>
    <row r="95" spans="1:44" ht="18.75" customHeight="1">
      <c r="A95" s="198"/>
      <c r="B95" s="198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8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5">
        <f t="shared" si="2"/>
        <v>27</v>
      </c>
    </row>
    <row r="96" spans="1:44" ht="18.75" customHeight="1">
      <c r="A96" s="198"/>
      <c r="B96" s="198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5">
        <f t="shared" si="2"/>
        <v>28</v>
      </c>
    </row>
    <row r="97" spans="1:48" ht="18.75" customHeight="1">
      <c r="A97" s="198"/>
      <c r="B97" s="198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198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5">
        <f t="shared" si="2"/>
        <v>29</v>
      </c>
    </row>
    <row r="98" spans="1:48" ht="18.75" customHeight="1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5">
        <f t="shared" si="2"/>
        <v>30</v>
      </c>
    </row>
    <row r="99" spans="1:48" ht="18.75" customHeight="1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5">
        <f t="shared" si="2"/>
        <v>31</v>
      </c>
    </row>
    <row r="100" spans="1:48" ht="18.75" customHeight="1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5">
        <f t="shared" si="2"/>
        <v>32</v>
      </c>
    </row>
    <row r="101" spans="1:48" ht="18.75" customHeight="1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5">
        <f t="shared" si="2"/>
        <v>33</v>
      </c>
    </row>
    <row r="102" spans="1:48" ht="18.75" customHeight="1">
      <c r="A102" s="198"/>
      <c r="B102" s="198"/>
      <c r="C102" s="198"/>
      <c r="D102" s="198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5">
        <f t="shared" si="2"/>
        <v>34</v>
      </c>
    </row>
    <row r="103" spans="1:48" ht="16.5" customHeight="1">
      <c r="A103" s="197"/>
      <c r="B103" s="197"/>
      <c r="AI103" s="200" t="str">
        <f>'1'!$AI$1</f>
        <v>R4健障障第100号</v>
      </c>
      <c r="AJ103" s="200"/>
      <c r="AK103" s="200"/>
      <c r="AL103" s="200"/>
      <c r="AM103" s="200"/>
      <c r="AN103" s="200"/>
      <c r="AO103" s="200"/>
      <c r="AP103" s="200"/>
      <c r="AQ103" s="200"/>
      <c r="AR103" s="15">
        <v>1</v>
      </c>
    </row>
    <row r="104" spans="1:48" ht="16.5" customHeight="1">
      <c r="A104" s="197"/>
      <c r="B104" s="197"/>
      <c r="AI104" s="201">
        <f>'1'!$AI$2</f>
        <v>44677</v>
      </c>
      <c r="AJ104" s="201"/>
      <c r="AK104" s="201"/>
      <c r="AL104" s="201"/>
      <c r="AM104" s="201"/>
      <c r="AN104" s="201"/>
      <c r="AO104" s="201"/>
      <c r="AP104" s="201"/>
      <c r="AQ104" s="201"/>
      <c r="AR104" s="15">
        <f>AR103+1</f>
        <v>2</v>
      </c>
    </row>
    <row r="105" spans="1:48" ht="18.75" customHeight="1">
      <c r="A105" s="198"/>
      <c r="B105" s="198"/>
      <c r="C105" s="198"/>
      <c r="D105" s="198"/>
      <c r="E105" s="198"/>
      <c r="F105" s="198"/>
      <c r="G105" s="198"/>
      <c r="H105" s="198"/>
      <c r="I105" s="198"/>
      <c r="J105" s="198"/>
      <c r="K105" s="198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98"/>
      <c r="AE105" s="198"/>
      <c r="AF105" s="198"/>
      <c r="AG105" s="198"/>
      <c r="AH105" s="198"/>
      <c r="AI105" s="198"/>
      <c r="AJ105" s="198"/>
      <c r="AK105" s="198"/>
      <c r="AL105" s="198"/>
      <c r="AM105" s="198"/>
      <c r="AN105" s="198"/>
      <c r="AO105" s="198"/>
      <c r="AP105" s="198"/>
      <c r="AQ105" s="198"/>
      <c r="AR105" s="15">
        <f t="shared" ref="AR105:AR136" si="3">AR104+1</f>
        <v>3</v>
      </c>
    </row>
    <row r="106" spans="1:48" ht="18.75" customHeight="1">
      <c r="A106" s="199" t="str">
        <f>INDEX(送付先一覧!A:O,MATCH(AV106,送付先一覧!A:A,0),4)</f>
        <v>特定非営利活動法人シャロームの会</v>
      </c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199"/>
      <c r="AL106" s="199"/>
      <c r="AM106" s="199"/>
      <c r="AN106" s="199"/>
      <c r="AO106" s="199"/>
      <c r="AP106" s="199"/>
      <c r="AQ106" s="199"/>
      <c r="AR106" s="15">
        <f t="shared" si="3"/>
        <v>4</v>
      </c>
      <c r="AV106" s="65">
        <f>AV72+1</f>
        <v>36</v>
      </c>
    </row>
    <row r="107" spans="1:48" ht="18.75" customHeight="1">
      <c r="A107" s="202" t="str">
        <f>INDEX(送付先一覧!A:O,MATCH(AV106,送付先一覧!A:A,0),5)</f>
        <v>理事長　菊地　茂</v>
      </c>
      <c r="B107" s="202"/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  <c r="AM107" s="202"/>
      <c r="AN107" s="202"/>
      <c r="AO107" s="202"/>
      <c r="AP107" s="202"/>
      <c r="AQ107" s="202"/>
      <c r="AR107" s="15">
        <f t="shared" si="3"/>
        <v>5</v>
      </c>
    </row>
    <row r="108" spans="1:48" ht="18.75" customHeight="1">
      <c r="A108" s="198"/>
      <c r="B108" s="198"/>
      <c r="C108" s="198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98"/>
      <c r="AE108" s="198"/>
      <c r="AF108" s="198"/>
      <c r="AG108" s="198"/>
      <c r="AH108" s="198"/>
      <c r="AI108" s="198"/>
      <c r="AJ108" s="198"/>
      <c r="AK108" s="198"/>
      <c r="AL108" s="198"/>
      <c r="AM108" s="198"/>
      <c r="AN108" s="198"/>
      <c r="AO108" s="198"/>
      <c r="AP108" s="198"/>
      <c r="AQ108" s="198"/>
      <c r="AR108" s="15">
        <f t="shared" si="3"/>
        <v>6</v>
      </c>
    </row>
    <row r="109" spans="1:48" ht="18.75" customHeight="1">
      <c r="V109" s="199" t="str">
        <f>'1'!$V$7</f>
        <v>仙台市健康福祉局障害福祉部障害企画課長　　</v>
      </c>
      <c r="W109" s="199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199"/>
      <c r="AI109" s="199"/>
      <c r="AJ109" s="199"/>
      <c r="AK109" s="199"/>
      <c r="AL109" s="199"/>
      <c r="AM109" s="199"/>
      <c r="AN109" s="199"/>
      <c r="AO109" s="199"/>
      <c r="AP109" s="199"/>
      <c r="AQ109" s="199"/>
      <c r="AR109" s="15">
        <f t="shared" si="3"/>
        <v>7</v>
      </c>
    </row>
    <row r="110" spans="1:48" ht="18.75" customHeight="1">
      <c r="V110" s="199" t="str">
        <f>'1'!$V$8</f>
        <v>仙台市健康福祉局障害福祉部障害者支援課長　</v>
      </c>
      <c r="W110" s="199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199"/>
      <c r="AI110" s="199"/>
      <c r="AJ110" s="199"/>
      <c r="AK110" s="199"/>
      <c r="AL110" s="199"/>
      <c r="AM110" s="199"/>
      <c r="AN110" s="199"/>
      <c r="AO110" s="199"/>
      <c r="AP110" s="199"/>
      <c r="AQ110" s="199"/>
      <c r="AR110" s="15">
        <f t="shared" si="3"/>
        <v>8</v>
      </c>
    </row>
    <row r="111" spans="1:48" ht="18.75" customHeight="1">
      <c r="A111" s="198"/>
      <c r="B111" s="198"/>
      <c r="C111" s="198"/>
      <c r="D111" s="198"/>
      <c r="E111" s="198"/>
      <c r="F111" s="198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98"/>
      <c r="AE111" s="198"/>
      <c r="AF111" s="198"/>
      <c r="AG111" s="198"/>
      <c r="AH111" s="198"/>
      <c r="AI111" s="198"/>
      <c r="AJ111" s="198"/>
      <c r="AK111" s="198"/>
      <c r="AL111" s="198"/>
      <c r="AM111" s="198"/>
      <c r="AN111" s="198"/>
      <c r="AO111" s="198"/>
      <c r="AP111" s="198"/>
      <c r="AQ111" s="198"/>
      <c r="AR111" s="15">
        <f t="shared" si="3"/>
        <v>9</v>
      </c>
    </row>
    <row r="112" spans="1:48" ht="22.5" customHeight="1">
      <c r="A112" s="203" t="str">
        <f>'1'!$A$10</f>
        <v>令和４年度仙台市障害福祉分野のICT導入モデル事業補助金の内示について</v>
      </c>
      <c r="B112" s="203"/>
      <c r="C112" s="203"/>
      <c r="D112" s="203"/>
      <c r="E112" s="203"/>
      <c r="F112" s="203"/>
      <c r="G112" s="203"/>
      <c r="H112" s="203"/>
      <c r="I112" s="203"/>
      <c r="J112" s="203"/>
      <c r="K112" s="203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203"/>
      <c r="W112" s="203"/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I112" s="203"/>
      <c r="AJ112" s="203"/>
      <c r="AK112" s="203"/>
      <c r="AL112" s="203"/>
      <c r="AM112" s="203"/>
      <c r="AN112" s="203"/>
      <c r="AO112" s="203"/>
      <c r="AP112" s="203"/>
      <c r="AQ112" s="203"/>
      <c r="AR112" s="15">
        <f t="shared" si="3"/>
        <v>10</v>
      </c>
    </row>
    <row r="113" spans="1:44" ht="18.75" customHeight="1">
      <c r="A113" s="198"/>
      <c r="B113" s="198"/>
      <c r="C113" s="198"/>
      <c r="D113" s="198"/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98"/>
      <c r="AE113" s="198"/>
      <c r="AF113" s="198"/>
      <c r="AG113" s="198"/>
      <c r="AH113" s="198"/>
      <c r="AI113" s="198"/>
      <c r="AJ113" s="198"/>
      <c r="AK113" s="198"/>
      <c r="AL113" s="198"/>
      <c r="AM113" s="198"/>
      <c r="AN113" s="198"/>
      <c r="AO113" s="198"/>
      <c r="AP113" s="198"/>
      <c r="AQ113" s="198"/>
      <c r="AR113" s="15">
        <f t="shared" si="3"/>
        <v>11</v>
      </c>
    </row>
    <row r="114" spans="1:44" ht="93.75" customHeight="1">
      <c r="A114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14" s="205"/>
      <c r="C114" s="205"/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5"/>
      <c r="AE114" s="205"/>
      <c r="AF114" s="205"/>
      <c r="AG114" s="205"/>
      <c r="AH114" s="205"/>
      <c r="AI114" s="205"/>
      <c r="AJ114" s="205"/>
      <c r="AK114" s="205"/>
      <c r="AL114" s="205"/>
      <c r="AM114" s="205"/>
      <c r="AN114" s="205"/>
      <c r="AO114" s="205"/>
      <c r="AP114" s="205"/>
      <c r="AQ114" s="205"/>
      <c r="AR114" s="15">
        <f t="shared" si="3"/>
        <v>12</v>
      </c>
    </row>
    <row r="115" spans="1:44" ht="18.75" customHeight="1">
      <c r="A115" s="198"/>
      <c r="B115" s="198"/>
      <c r="C115" s="198"/>
      <c r="D115" s="198"/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5">
        <f t="shared" si="3"/>
        <v>13</v>
      </c>
    </row>
    <row r="116" spans="1:44" ht="18.75" customHeight="1">
      <c r="A116" s="197" t="str">
        <f>'1'!$A$14</f>
        <v>記</v>
      </c>
      <c r="B116" s="197"/>
      <c r="C116" s="197"/>
      <c r="D116" s="197"/>
      <c r="E116" s="197"/>
      <c r="F116" s="197"/>
      <c r="G116" s="197"/>
      <c r="H116" s="197"/>
      <c r="I116" s="197"/>
      <c r="J116" s="197"/>
      <c r="K116" s="197"/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/>
      <c r="AF116" s="197"/>
      <c r="AG116" s="197"/>
      <c r="AH116" s="197"/>
      <c r="AI116" s="197"/>
      <c r="AJ116" s="197"/>
      <c r="AK116" s="197"/>
      <c r="AL116" s="197"/>
      <c r="AM116" s="197"/>
      <c r="AN116" s="197"/>
      <c r="AO116" s="197"/>
      <c r="AP116" s="197"/>
      <c r="AQ116" s="197"/>
      <c r="AR116" s="15">
        <f t="shared" si="3"/>
        <v>14</v>
      </c>
    </row>
    <row r="117" spans="1:44" ht="18.75" customHeight="1">
      <c r="A117" s="198"/>
      <c r="B117" s="198"/>
      <c r="C117" s="198"/>
      <c r="D117" s="198"/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5">
        <f t="shared" si="3"/>
        <v>15</v>
      </c>
    </row>
    <row r="118" spans="1:44" ht="18.75" customHeight="1">
      <c r="I118" s="199" t="str">
        <f>'1'!$I$16</f>
        <v>補助内示額</v>
      </c>
      <c r="J118" s="199"/>
      <c r="K118" s="199"/>
      <c r="L118" s="199"/>
      <c r="M118" s="199"/>
      <c r="N118" s="199"/>
      <c r="S118" s="206">
        <f>INDEX(送付先一覧!A:O,MATCH(AV106,送付先一覧!A:A,0),12)</f>
        <v>407000</v>
      </c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199"/>
      <c r="AG118" s="199"/>
      <c r="AH118" s="199"/>
      <c r="AI118" s="199"/>
      <c r="AR118" s="15">
        <f t="shared" si="3"/>
        <v>16</v>
      </c>
    </row>
    <row r="119" spans="1:44" ht="18.75" customHeight="1">
      <c r="I119" s="199" t="str">
        <f>'1'!$I$17</f>
        <v>事業種別</v>
      </c>
      <c r="J119" s="199"/>
      <c r="K119" s="199"/>
      <c r="L119" s="199"/>
      <c r="M119" s="199"/>
      <c r="N119" s="199"/>
      <c r="O119" s="199"/>
      <c r="P119" s="199"/>
      <c r="Q119" s="199"/>
      <c r="R119" s="199"/>
      <c r="S119" s="199" t="str">
        <f>INDEX(送付先一覧!A:O,MATCH(AV106,送付先一覧!A:A,0),9)</f>
        <v>共同生活援助</v>
      </c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199"/>
      <c r="AR119" s="15">
        <f t="shared" si="3"/>
        <v>17</v>
      </c>
    </row>
    <row r="120" spans="1:44" ht="18.75" customHeight="1">
      <c r="I120" s="199" t="str">
        <f>'1'!$I$18</f>
        <v>事業所名</v>
      </c>
      <c r="J120" s="199"/>
      <c r="K120" s="199"/>
      <c r="L120" s="199"/>
      <c r="M120" s="199"/>
      <c r="N120" s="199"/>
      <c r="O120" s="199"/>
      <c r="P120" s="199"/>
      <c r="Q120" s="199"/>
      <c r="R120" s="199"/>
      <c r="S120" s="204" t="str">
        <f>INDEX(送付先一覧!A:O,MATCH(AV106,送付先一覧!A:A,0),8)</f>
        <v>ハーモニー</v>
      </c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204"/>
      <c r="AE120" s="204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15">
        <f t="shared" si="3"/>
        <v>18</v>
      </c>
    </row>
    <row r="121" spans="1:44" ht="18.75" customHeight="1"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15">
        <f t="shared" si="3"/>
        <v>19</v>
      </c>
    </row>
    <row r="122" spans="1:44" ht="18.75" customHeight="1"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R122" s="15">
        <f t="shared" si="3"/>
        <v>20</v>
      </c>
    </row>
    <row r="123" spans="1:44" ht="18.75" customHeight="1">
      <c r="A123" s="198"/>
      <c r="B123" s="198"/>
      <c r="C123" s="198"/>
      <c r="D123" s="198"/>
      <c r="E123" s="198"/>
      <c r="F123" s="198"/>
      <c r="G123" s="198"/>
      <c r="H123" s="198"/>
      <c r="I123" s="198"/>
      <c r="J123" s="198"/>
      <c r="K123" s="198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  <c r="AF123" s="198"/>
      <c r="AG123" s="198"/>
      <c r="AH123" s="198"/>
      <c r="AI123" s="198"/>
      <c r="AJ123" s="198"/>
      <c r="AK123" s="198"/>
      <c r="AL123" s="198"/>
      <c r="AM123" s="198"/>
      <c r="AN123" s="198"/>
      <c r="AO123" s="198"/>
      <c r="AP123" s="198"/>
      <c r="AQ123" s="198"/>
      <c r="AR123" s="15">
        <f t="shared" si="3"/>
        <v>21</v>
      </c>
    </row>
    <row r="124" spans="1:44" ht="18.75" customHeight="1">
      <c r="A124" s="198"/>
      <c r="B124" s="198"/>
      <c r="C124" s="198"/>
      <c r="D124" s="198"/>
      <c r="E124" s="198"/>
      <c r="F124" s="198"/>
      <c r="G124" s="198"/>
      <c r="H124" s="198"/>
      <c r="I124" s="198"/>
      <c r="J124" s="198"/>
      <c r="K124" s="198"/>
      <c r="L124" s="198"/>
      <c r="M124" s="198"/>
      <c r="N124" s="198"/>
      <c r="O124" s="198"/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98"/>
      <c r="AE124" s="198"/>
      <c r="AF124" s="198"/>
      <c r="AG124" s="198"/>
      <c r="AH124" s="198"/>
      <c r="AI124" s="198"/>
      <c r="AJ124" s="198"/>
      <c r="AK124" s="198"/>
      <c r="AL124" s="198"/>
      <c r="AM124" s="198"/>
      <c r="AN124" s="198"/>
      <c r="AO124" s="198"/>
      <c r="AP124" s="198"/>
      <c r="AQ124" s="198"/>
      <c r="AR124" s="15">
        <f t="shared" si="3"/>
        <v>22</v>
      </c>
    </row>
    <row r="125" spans="1:44" ht="18.75" customHeight="1">
      <c r="A125" s="198"/>
      <c r="B125" s="198"/>
      <c r="C125" s="198"/>
      <c r="D125" s="198"/>
      <c r="E125" s="198"/>
      <c r="F125" s="198"/>
      <c r="G125" s="198"/>
      <c r="H125" s="198"/>
      <c r="I125" s="198"/>
      <c r="J125" s="198"/>
      <c r="K125" s="198"/>
      <c r="L125" s="198"/>
      <c r="M125" s="198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  <c r="AF125" s="198"/>
      <c r="AG125" s="198"/>
      <c r="AH125" s="198"/>
      <c r="AI125" s="198"/>
      <c r="AJ125" s="198"/>
      <c r="AK125" s="198"/>
      <c r="AL125" s="198"/>
      <c r="AM125" s="198"/>
      <c r="AN125" s="198"/>
      <c r="AO125" s="198"/>
      <c r="AP125" s="198"/>
      <c r="AQ125" s="198"/>
      <c r="AR125" s="15">
        <f t="shared" si="3"/>
        <v>23</v>
      </c>
    </row>
    <row r="126" spans="1:44" ht="18.75" customHeight="1">
      <c r="A126" s="198"/>
      <c r="B126" s="198"/>
      <c r="C126" s="198"/>
      <c r="D126" s="198"/>
      <c r="E126" s="198"/>
      <c r="F126" s="198"/>
      <c r="G126" s="198"/>
      <c r="H126" s="198"/>
      <c r="I126" s="198"/>
      <c r="J126" s="198"/>
      <c r="K126" s="198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8"/>
      <c r="AE126" s="198"/>
      <c r="AF126" s="198"/>
      <c r="AG126" s="198"/>
      <c r="AH126" s="198"/>
      <c r="AI126" s="198"/>
      <c r="AJ126" s="198"/>
      <c r="AK126" s="198"/>
      <c r="AL126" s="198"/>
      <c r="AM126" s="198"/>
      <c r="AN126" s="198"/>
      <c r="AO126" s="198"/>
      <c r="AP126" s="198"/>
      <c r="AQ126" s="198"/>
      <c r="AR126" s="15">
        <f t="shared" si="3"/>
        <v>24</v>
      </c>
    </row>
    <row r="127" spans="1:44" ht="18.75" customHeight="1">
      <c r="A127" s="198"/>
      <c r="B127" s="198"/>
      <c r="C127" s="198"/>
      <c r="D127" s="198"/>
      <c r="E127" s="198"/>
      <c r="F127" s="198"/>
      <c r="G127" s="198"/>
      <c r="H127" s="198"/>
      <c r="I127" s="198"/>
      <c r="J127" s="198"/>
      <c r="K127" s="198"/>
      <c r="L127" s="198"/>
      <c r="M127" s="198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  <c r="AF127" s="198"/>
      <c r="AG127" s="198"/>
      <c r="AH127" s="198"/>
      <c r="AI127" s="198"/>
      <c r="AJ127" s="198"/>
      <c r="AK127" s="198"/>
      <c r="AL127" s="198"/>
      <c r="AM127" s="198"/>
      <c r="AN127" s="198"/>
      <c r="AO127" s="198"/>
      <c r="AP127" s="198"/>
      <c r="AQ127" s="198"/>
      <c r="AR127" s="15">
        <f t="shared" si="3"/>
        <v>25</v>
      </c>
    </row>
    <row r="128" spans="1:44" ht="18.75" customHeight="1">
      <c r="A128" s="198"/>
      <c r="B128" s="198"/>
      <c r="C128" s="198"/>
      <c r="D128" s="198"/>
      <c r="E128" s="198"/>
      <c r="F128" s="198"/>
      <c r="G128" s="198"/>
      <c r="H128" s="198"/>
      <c r="I128" s="198"/>
      <c r="J128" s="198"/>
      <c r="K128" s="198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  <c r="AF128" s="198"/>
      <c r="AG128" s="198"/>
      <c r="AH128" s="198"/>
      <c r="AI128" s="198"/>
      <c r="AJ128" s="198"/>
      <c r="AK128" s="198"/>
      <c r="AL128" s="198"/>
      <c r="AM128" s="198"/>
      <c r="AN128" s="198"/>
      <c r="AO128" s="198"/>
      <c r="AP128" s="198"/>
      <c r="AQ128" s="198"/>
      <c r="AR128" s="15">
        <f t="shared" si="3"/>
        <v>26</v>
      </c>
    </row>
    <row r="129" spans="1:44" ht="18.75" customHeight="1">
      <c r="A129" s="198"/>
      <c r="B129" s="198"/>
      <c r="C129" s="198"/>
      <c r="D129" s="198"/>
      <c r="E129" s="198"/>
      <c r="F129" s="198"/>
      <c r="G129" s="198"/>
      <c r="H129" s="198"/>
      <c r="I129" s="198"/>
      <c r="J129" s="198"/>
      <c r="K129" s="198"/>
      <c r="L129" s="198"/>
      <c r="M129" s="198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  <c r="AF129" s="198"/>
      <c r="AG129" s="198"/>
      <c r="AH129" s="198"/>
      <c r="AI129" s="198"/>
      <c r="AJ129" s="198"/>
      <c r="AK129" s="198"/>
      <c r="AL129" s="198"/>
      <c r="AM129" s="198"/>
      <c r="AN129" s="198"/>
      <c r="AO129" s="198"/>
      <c r="AP129" s="198"/>
      <c r="AQ129" s="198"/>
      <c r="AR129" s="15">
        <f t="shared" si="3"/>
        <v>27</v>
      </c>
    </row>
    <row r="130" spans="1:44" ht="18.75" customHeight="1">
      <c r="A130" s="198"/>
      <c r="B130" s="198"/>
      <c r="C130" s="198"/>
      <c r="D130" s="198"/>
      <c r="E130" s="198"/>
      <c r="F130" s="198"/>
      <c r="G130" s="198"/>
      <c r="H130" s="198"/>
      <c r="I130" s="198"/>
      <c r="J130" s="198"/>
      <c r="K130" s="198"/>
      <c r="L130" s="198"/>
      <c r="M130" s="198"/>
      <c r="N130" s="198"/>
      <c r="O130" s="198"/>
      <c r="P130" s="198"/>
      <c r="Q130" s="198"/>
      <c r="R130" s="198"/>
      <c r="S130" s="198"/>
      <c r="T130" s="198"/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  <c r="AF130" s="198"/>
      <c r="AG130" s="198"/>
      <c r="AH130" s="198"/>
      <c r="AI130" s="198"/>
      <c r="AJ130" s="198"/>
      <c r="AK130" s="198"/>
      <c r="AL130" s="198"/>
      <c r="AM130" s="198"/>
      <c r="AN130" s="198"/>
      <c r="AO130" s="198"/>
      <c r="AP130" s="198"/>
      <c r="AQ130" s="198"/>
      <c r="AR130" s="15">
        <f t="shared" si="3"/>
        <v>28</v>
      </c>
    </row>
    <row r="131" spans="1:44" ht="18.75" customHeight="1">
      <c r="A131" s="198"/>
      <c r="B131" s="198"/>
      <c r="C131" s="198"/>
      <c r="D131" s="198"/>
      <c r="E131" s="198"/>
      <c r="F131" s="198"/>
      <c r="G131" s="198"/>
      <c r="H131" s="198"/>
      <c r="I131" s="198"/>
      <c r="J131" s="198"/>
      <c r="K131" s="198"/>
      <c r="L131" s="198"/>
      <c r="M131" s="198"/>
      <c r="N131" s="198"/>
      <c r="O131" s="198"/>
      <c r="P131" s="198"/>
      <c r="Q131" s="198"/>
      <c r="R131" s="198"/>
      <c r="S131" s="198"/>
      <c r="T131" s="198"/>
      <c r="U131" s="198"/>
      <c r="V131" s="198"/>
      <c r="W131" s="198"/>
      <c r="X131" s="198"/>
      <c r="Y131" s="198"/>
      <c r="Z131" s="198"/>
      <c r="AA131" s="198"/>
      <c r="AB131" s="198"/>
      <c r="AC131" s="198"/>
      <c r="AD131" s="198"/>
      <c r="AE131" s="198"/>
      <c r="AF131" s="198"/>
      <c r="AG131" s="198"/>
      <c r="AH131" s="198"/>
      <c r="AI131" s="198"/>
      <c r="AJ131" s="198"/>
      <c r="AK131" s="198"/>
      <c r="AL131" s="198"/>
      <c r="AM131" s="198"/>
      <c r="AN131" s="198"/>
      <c r="AO131" s="198"/>
      <c r="AP131" s="198"/>
      <c r="AQ131" s="198"/>
      <c r="AR131" s="15">
        <f t="shared" si="3"/>
        <v>29</v>
      </c>
    </row>
    <row r="132" spans="1:44" ht="18.75" customHeight="1">
      <c r="A132" s="198"/>
      <c r="B132" s="198"/>
      <c r="C132" s="198"/>
      <c r="D132" s="198"/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8"/>
      <c r="Y132" s="198"/>
      <c r="Z132" s="198"/>
      <c r="AA132" s="198"/>
      <c r="AB132" s="198"/>
      <c r="AC132" s="198"/>
      <c r="AD132" s="198"/>
      <c r="AE132" s="198"/>
      <c r="AF132" s="198"/>
      <c r="AG132" s="198"/>
      <c r="AH132" s="198"/>
      <c r="AI132" s="198"/>
      <c r="AJ132" s="198"/>
      <c r="AK132" s="198"/>
      <c r="AL132" s="198"/>
      <c r="AM132" s="198"/>
      <c r="AN132" s="198"/>
      <c r="AO132" s="198"/>
      <c r="AP132" s="198"/>
      <c r="AQ132" s="198"/>
      <c r="AR132" s="15">
        <f t="shared" si="3"/>
        <v>30</v>
      </c>
    </row>
    <row r="133" spans="1:44" ht="18.75" customHeight="1">
      <c r="A133" s="198"/>
      <c r="B133" s="198"/>
      <c r="C133" s="198"/>
      <c r="D133" s="198"/>
      <c r="E133" s="198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8"/>
      <c r="Y133" s="198"/>
      <c r="Z133" s="198"/>
      <c r="AA133" s="198"/>
      <c r="AB133" s="198"/>
      <c r="AC133" s="198"/>
      <c r="AD133" s="198"/>
      <c r="AE133" s="198"/>
      <c r="AF133" s="198"/>
      <c r="AG133" s="198"/>
      <c r="AH133" s="198"/>
      <c r="AI133" s="198"/>
      <c r="AJ133" s="198"/>
      <c r="AK133" s="198"/>
      <c r="AL133" s="198"/>
      <c r="AM133" s="198"/>
      <c r="AN133" s="198"/>
      <c r="AO133" s="198"/>
      <c r="AP133" s="198"/>
      <c r="AQ133" s="198"/>
      <c r="AR133" s="15">
        <f t="shared" si="3"/>
        <v>31</v>
      </c>
    </row>
    <row r="134" spans="1:44" ht="18.75" customHeight="1">
      <c r="A134" s="198"/>
      <c r="B134" s="198"/>
      <c r="C134" s="198"/>
      <c r="D134" s="198"/>
      <c r="E134" s="198"/>
      <c r="F134" s="198"/>
      <c r="G134" s="198"/>
      <c r="H134" s="198"/>
      <c r="I134" s="198"/>
      <c r="J134" s="198"/>
      <c r="K134" s="198"/>
      <c r="L134" s="198"/>
      <c r="M134" s="198"/>
      <c r="N134" s="198"/>
      <c r="O134" s="198"/>
      <c r="P134" s="198"/>
      <c r="Q134" s="198"/>
      <c r="R134" s="198"/>
      <c r="S134" s="198"/>
      <c r="T134" s="198"/>
      <c r="U134" s="198"/>
      <c r="V134" s="198"/>
      <c r="W134" s="198"/>
      <c r="X134" s="198"/>
      <c r="Y134" s="198"/>
      <c r="Z134" s="198"/>
      <c r="AA134" s="198"/>
      <c r="AB134" s="198"/>
      <c r="AC134" s="198"/>
      <c r="AD134" s="198"/>
      <c r="AE134" s="198"/>
      <c r="AF134" s="198"/>
      <c r="AG134" s="198"/>
      <c r="AH134" s="198"/>
      <c r="AI134" s="198"/>
      <c r="AJ134" s="198"/>
      <c r="AK134" s="198"/>
      <c r="AL134" s="198"/>
      <c r="AM134" s="198"/>
      <c r="AN134" s="198"/>
      <c r="AO134" s="198"/>
      <c r="AP134" s="198"/>
      <c r="AQ134" s="198"/>
      <c r="AR134" s="15">
        <f t="shared" si="3"/>
        <v>32</v>
      </c>
    </row>
    <row r="135" spans="1:44" ht="18.75" customHeight="1">
      <c r="A135" s="198"/>
      <c r="B135" s="198"/>
      <c r="C135" s="198"/>
      <c r="D135" s="198"/>
      <c r="E135" s="198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  <c r="P135" s="198"/>
      <c r="Q135" s="198"/>
      <c r="R135" s="198"/>
      <c r="S135" s="198"/>
      <c r="T135" s="198"/>
      <c r="U135" s="198"/>
      <c r="V135" s="198"/>
      <c r="W135" s="198"/>
      <c r="X135" s="198"/>
      <c r="Y135" s="198"/>
      <c r="Z135" s="198"/>
      <c r="AA135" s="198"/>
      <c r="AB135" s="198"/>
      <c r="AC135" s="198"/>
      <c r="AD135" s="198"/>
      <c r="AE135" s="198"/>
      <c r="AF135" s="198"/>
      <c r="AG135" s="198"/>
      <c r="AH135" s="198"/>
      <c r="AI135" s="198"/>
      <c r="AJ135" s="198"/>
      <c r="AK135" s="198"/>
      <c r="AL135" s="198"/>
      <c r="AM135" s="198"/>
      <c r="AN135" s="198"/>
      <c r="AO135" s="198"/>
      <c r="AP135" s="198"/>
      <c r="AQ135" s="198"/>
      <c r="AR135" s="15">
        <f t="shared" si="3"/>
        <v>33</v>
      </c>
    </row>
    <row r="136" spans="1:44" ht="18.75" customHeight="1">
      <c r="A136" s="198"/>
      <c r="B136" s="198"/>
      <c r="C136" s="198"/>
      <c r="D136" s="198"/>
      <c r="E136" s="198"/>
      <c r="F136" s="198"/>
      <c r="G136" s="198"/>
      <c r="H136" s="198"/>
      <c r="I136" s="198"/>
      <c r="J136" s="198"/>
      <c r="K136" s="198"/>
      <c r="L136" s="198"/>
      <c r="M136" s="198"/>
      <c r="N136" s="198"/>
      <c r="O136" s="198"/>
      <c r="P136" s="198"/>
      <c r="Q136" s="198"/>
      <c r="R136" s="198"/>
      <c r="S136" s="198"/>
      <c r="T136" s="198"/>
      <c r="U136" s="198"/>
      <c r="V136" s="198"/>
      <c r="W136" s="198"/>
      <c r="X136" s="198"/>
      <c r="Y136" s="198"/>
      <c r="Z136" s="198"/>
      <c r="AA136" s="198"/>
      <c r="AB136" s="198"/>
      <c r="AC136" s="198"/>
      <c r="AD136" s="198"/>
      <c r="AE136" s="198"/>
      <c r="AF136" s="198"/>
      <c r="AG136" s="198"/>
      <c r="AH136" s="198"/>
      <c r="AI136" s="198"/>
      <c r="AJ136" s="198"/>
      <c r="AK136" s="198"/>
      <c r="AL136" s="198"/>
      <c r="AM136" s="198"/>
      <c r="AN136" s="198"/>
      <c r="AO136" s="198"/>
      <c r="AP136" s="198"/>
      <c r="AQ136" s="198"/>
      <c r="AR136" s="15">
        <f t="shared" si="3"/>
        <v>34</v>
      </c>
    </row>
    <row r="137" spans="1:44" ht="16.5" customHeight="1"/>
    <row r="138" spans="1:44" ht="16.5" customHeight="1"/>
    <row r="139" spans="1:44" ht="16.5" customHeight="1"/>
    <row r="140" spans="1:44" ht="16.5" customHeight="1"/>
    <row r="141" spans="1:44" ht="16.5" customHeight="1"/>
    <row r="142" spans="1:44" ht="16.5" customHeight="1"/>
    <row r="143" spans="1:44" ht="16.5" customHeight="1"/>
    <row r="144" spans="1: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</sheetData>
  <sheetProtection formatCells="0" selectLockedCells="1"/>
  <mergeCells count="172">
    <mergeCell ref="A132:AQ132"/>
    <mergeCell ref="A133:AQ133"/>
    <mergeCell ref="A134:AQ134"/>
    <mergeCell ref="A135:AQ135"/>
    <mergeCell ref="A136:AQ136"/>
    <mergeCell ref="A126:AQ126"/>
    <mergeCell ref="A127:AQ127"/>
    <mergeCell ref="A128:AQ128"/>
    <mergeCell ref="A129:AQ129"/>
    <mergeCell ref="A130:AQ130"/>
    <mergeCell ref="A131:AQ131"/>
    <mergeCell ref="I121:R121"/>
    <mergeCell ref="I122:R122"/>
    <mergeCell ref="S122:AI122"/>
    <mergeCell ref="A123:AQ123"/>
    <mergeCell ref="A124:AQ124"/>
    <mergeCell ref="A125:AQ125"/>
    <mergeCell ref="I119:N119"/>
    <mergeCell ref="O119:R119"/>
    <mergeCell ref="S119:AP119"/>
    <mergeCell ref="I120:N120"/>
    <mergeCell ref="O120:R120"/>
    <mergeCell ref="S120:AQ120"/>
    <mergeCell ref="A115:AQ115"/>
    <mergeCell ref="A116:AQ116"/>
    <mergeCell ref="A117:AQ117"/>
    <mergeCell ref="I118:N118"/>
    <mergeCell ref="S118:AE118"/>
    <mergeCell ref="AF118:AI118"/>
    <mergeCell ref="V109:AQ109"/>
    <mergeCell ref="V110:AQ110"/>
    <mergeCell ref="A111:AQ111"/>
    <mergeCell ref="A112:AQ112"/>
    <mergeCell ref="A113:AQ113"/>
    <mergeCell ref="A114:AQ114"/>
    <mergeCell ref="A104:B104"/>
    <mergeCell ref="AI104:AQ104"/>
    <mergeCell ref="A105:AQ105"/>
    <mergeCell ref="A106:AQ106"/>
    <mergeCell ref="A107:AQ107"/>
    <mergeCell ref="A108:AQ108"/>
    <mergeCell ref="A98:AQ98"/>
    <mergeCell ref="A99:AQ99"/>
    <mergeCell ref="A100:AQ100"/>
    <mergeCell ref="A101:AQ101"/>
    <mergeCell ref="A102:AQ102"/>
    <mergeCell ref="A103:B103"/>
    <mergeCell ref="AI103:AQ103"/>
    <mergeCell ref="A92:AQ92"/>
    <mergeCell ref="A93:AQ93"/>
    <mergeCell ref="A94:AQ94"/>
    <mergeCell ref="A95:AQ95"/>
    <mergeCell ref="A96:AQ96"/>
    <mergeCell ref="A97:AQ97"/>
    <mergeCell ref="I87:R87"/>
    <mergeCell ref="I88:R88"/>
    <mergeCell ref="S88:AI88"/>
    <mergeCell ref="A89:AQ89"/>
    <mergeCell ref="A90:AQ90"/>
    <mergeCell ref="A91:AQ91"/>
    <mergeCell ref="I85:N85"/>
    <mergeCell ref="O85:R85"/>
    <mergeCell ref="S85:AP85"/>
    <mergeCell ref="I86:N86"/>
    <mergeCell ref="O86:R86"/>
    <mergeCell ref="S86:AQ86"/>
    <mergeCell ref="A81:AQ81"/>
    <mergeCell ref="A82:AQ82"/>
    <mergeCell ref="A83:AQ83"/>
    <mergeCell ref="I84:N84"/>
    <mergeCell ref="S84:AE84"/>
    <mergeCell ref="AF84:AI84"/>
    <mergeCell ref="V75:AQ75"/>
    <mergeCell ref="V76:AQ76"/>
    <mergeCell ref="A77:AQ77"/>
    <mergeCell ref="A78:AQ78"/>
    <mergeCell ref="A79:AQ79"/>
    <mergeCell ref="A80:AQ80"/>
    <mergeCell ref="A70:B70"/>
    <mergeCell ref="AI70:AQ70"/>
    <mergeCell ref="A71:AQ71"/>
    <mergeCell ref="A72:AQ72"/>
    <mergeCell ref="A73:AQ73"/>
    <mergeCell ref="A74:AQ74"/>
    <mergeCell ref="A64:AQ64"/>
    <mergeCell ref="A65:AQ65"/>
    <mergeCell ref="A66:AQ66"/>
    <mergeCell ref="A67:AQ67"/>
    <mergeCell ref="A68:AQ68"/>
    <mergeCell ref="A69:B69"/>
    <mergeCell ref="AI69:AQ69"/>
    <mergeCell ref="A58:AQ58"/>
    <mergeCell ref="A59:AQ59"/>
    <mergeCell ref="A60:AQ60"/>
    <mergeCell ref="A61:AQ61"/>
    <mergeCell ref="A62:AQ62"/>
    <mergeCell ref="A63:AQ63"/>
    <mergeCell ref="I53:R53"/>
    <mergeCell ref="I54:R54"/>
    <mergeCell ref="S54:AI54"/>
    <mergeCell ref="A55:AQ55"/>
    <mergeCell ref="A56:AQ56"/>
    <mergeCell ref="A57:AQ57"/>
    <mergeCell ref="I51:N51"/>
    <mergeCell ref="O51:R51"/>
    <mergeCell ref="S51:AP51"/>
    <mergeCell ref="I52:N52"/>
    <mergeCell ref="O52:R52"/>
    <mergeCell ref="S52:AQ52"/>
    <mergeCell ref="A47:AQ47"/>
    <mergeCell ref="A48:AQ48"/>
    <mergeCell ref="A49:AQ49"/>
    <mergeCell ref="I50:N50"/>
    <mergeCell ref="S50:AE50"/>
    <mergeCell ref="AF50:AI50"/>
    <mergeCell ref="V41:AQ41"/>
    <mergeCell ref="V42:AQ42"/>
    <mergeCell ref="A43:AQ43"/>
    <mergeCell ref="A44:AQ44"/>
    <mergeCell ref="A45:AQ45"/>
    <mergeCell ref="A46:AQ46"/>
    <mergeCell ref="A36:B36"/>
    <mergeCell ref="AI36:AQ36"/>
    <mergeCell ref="A37:AQ37"/>
    <mergeCell ref="A38:AQ38"/>
    <mergeCell ref="A39:AQ39"/>
    <mergeCell ref="A40:AQ40"/>
    <mergeCell ref="A30:AQ30"/>
    <mergeCell ref="A31:AQ31"/>
    <mergeCell ref="A32:AQ32"/>
    <mergeCell ref="A33:AQ33"/>
    <mergeCell ref="A34:AQ34"/>
    <mergeCell ref="A35:B35"/>
    <mergeCell ref="AI35:AQ35"/>
    <mergeCell ref="A24:AQ24"/>
    <mergeCell ref="A25:AQ25"/>
    <mergeCell ref="A26:AQ26"/>
    <mergeCell ref="A27:AQ27"/>
    <mergeCell ref="A28:AQ28"/>
    <mergeCell ref="A29:AQ29"/>
    <mergeCell ref="I19:R19"/>
    <mergeCell ref="I20:R20"/>
    <mergeCell ref="S20:AI20"/>
    <mergeCell ref="A21:AQ21"/>
    <mergeCell ref="A22:AQ22"/>
    <mergeCell ref="A23:AQ23"/>
    <mergeCell ref="I17:N17"/>
    <mergeCell ref="O17:R17"/>
    <mergeCell ref="S17:AP17"/>
    <mergeCell ref="I18:N18"/>
    <mergeCell ref="O18:R18"/>
    <mergeCell ref="S18:AQ18"/>
    <mergeCell ref="A11:AQ11"/>
    <mergeCell ref="A12:AQ12"/>
    <mergeCell ref="A13:AQ13"/>
    <mergeCell ref="A14:AQ14"/>
    <mergeCell ref="A15:AQ15"/>
    <mergeCell ref="I16:N16"/>
    <mergeCell ref="S16:AE16"/>
    <mergeCell ref="AF16:AI16"/>
    <mergeCell ref="A5:AQ5"/>
    <mergeCell ref="A6:AQ6"/>
    <mergeCell ref="V7:AQ7"/>
    <mergeCell ref="V8:AQ8"/>
    <mergeCell ref="A9:AQ9"/>
    <mergeCell ref="A10:AQ10"/>
    <mergeCell ref="A1:B1"/>
    <mergeCell ref="AI1:AQ1"/>
    <mergeCell ref="A2:B2"/>
    <mergeCell ref="AI2:AQ2"/>
    <mergeCell ref="A3:AQ3"/>
    <mergeCell ref="A4:AQ4"/>
  </mergeCells>
  <phoneticPr fontId="1"/>
  <pageMargins left="0.98425196850393704" right="0.98425196850393704" top="1.3779527559055118" bottom="1.181102362204724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Q48"/>
  <sheetViews>
    <sheetView showGridLines="0" topLeftCell="B1" zoomScale="70" zoomScaleNormal="70" zoomScaleSheetLayoutView="70" workbookViewId="0">
      <pane ySplit="1" topLeftCell="A2" activePane="bottomLeft" state="frozen"/>
      <selection activeCell="I11" sqref="I11:I42"/>
      <selection pane="bottomLeft" activeCell="I11" sqref="I11:I42"/>
    </sheetView>
  </sheetViews>
  <sheetFormatPr defaultColWidth="9" defaultRowHeight="11.5" outlineLevelCol="1"/>
  <cols>
    <col min="1" max="1" width="6.90625" style="1" customWidth="1"/>
    <col min="2" max="2" width="14.36328125" style="1" customWidth="1"/>
    <col min="3" max="3" width="52.6328125" style="1" customWidth="1"/>
    <col min="4" max="4" width="23.26953125" style="1" hidden="1" customWidth="1" outlineLevel="1"/>
    <col min="5" max="5" width="43" style="1" customWidth="1" collapsed="1"/>
    <col min="6" max="6" width="29.36328125" style="1" customWidth="1"/>
    <col min="7" max="7" width="17" style="1" hidden="1" customWidth="1" outlineLevel="1"/>
    <col min="8" max="8" width="17" style="1" customWidth="1" collapsed="1"/>
    <col min="9" max="11" width="17" style="1" customWidth="1"/>
    <col min="12" max="12" width="17" style="1" customWidth="1" outlineLevel="1"/>
    <col min="13" max="13" width="19.36328125" style="1" customWidth="1"/>
    <col min="14" max="15" width="21.08984375" style="159" customWidth="1"/>
    <col min="16" max="16" width="20.90625" style="1" customWidth="1" outlineLevel="1"/>
    <col min="17" max="17" width="16" style="1" customWidth="1" outlineLevel="1"/>
    <col min="18" max="16384" width="9" style="1"/>
  </cols>
  <sheetData>
    <row r="1" spans="1:17" ht="46.5" customHeight="1">
      <c r="A1" s="159" t="s">
        <v>257</v>
      </c>
      <c r="B1" s="159" t="s">
        <v>645</v>
      </c>
      <c r="C1" s="159" t="s">
        <v>173</v>
      </c>
      <c r="D1" s="159" t="s">
        <v>584</v>
      </c>
      <c r="E1" s="159" t="s">
        <v>174</v>
      </c>
      <c r="F1" s="159" t="s">
        <v>175</v>
      </c>
      <c r="G1" s="159" t="s">
        <v>637</v>
      </c>
      <c r="H1" s="159" t="s">
        <v>873</v>
      </c>
      <c r="I1" s="159" t="s">
        <v>874</v>
      </c>
      <c r="J1" s="159" t="s">
        <v>872</v>
      </c>
      <c r="K1" s="159" t="s">
        <v>876</v>
      </c>
      <c r="L1" s="159" t="s">
        <v>893</v>
      </c>
      <c r="M1" s="159" t="s">
        <v>896</v>
      </c>
      <c r="N1" s="159" t="s">
        <v>897</v>
      </c>
      <c r="O1" s="159" t="s">
        <v>638</v>
      </c>
      <c r="P1" s="159" t="s">
        <v>875</v>
      </c>
      <c r="Q1" s="159" t="s">
        <v>892</v>
      </c>
    </row>
    <row r="2" spans="1:17" ht="25" customHeight="1">
      <c r="A2" s="1">
        <v>1</v>
      </c>
      <c r="B2" s="3">
        <v>44720</v>
      </c>
      <c r="C2" s="1" t="s">
        <v>190</v>
      </c>
      <c r="E2" s="1" t="s">
        <v>191</v>
      </c>
      <c r="F2" s="1" t="s">
        <v>900</v>
      </c>
      <c r="G2" s="7">
        <v>1000000</v>
      </c>
      <c r="H2" s="7">
        <v>1000000</v>
      </c>
      <c r="I2" s="7">
        <v>1000000</v>
      </c>
      <c r="J2" s="7">
        <f>ROUNDDOWN(PRODUCT(テーブル2567891011[[#This Row],[市交付確定額]],2)/3,-3)</f>
        <v>666000</v>
      </c>
      <c r="K2" s="7">
        <f>IF(テーブル2567891011[[#This Row],[補助金支出]]="確定払","",テーブル2567891011[[#This Row],[市交付決定額]]-テーブル2567891011[[#This Row],[市交付確定額]])</f>
        <v>0</v>
      </c>
      <c r="L2" s="159" t="s">
        <v>895</v>
      </c>
      <c r="M2" s="3">
        <v>45118</v>
      </c>
      <c r="N2" s="160"/>
      <c r="O2" s="160"/>
      <c r="P2" s="157">
        <v>44816</v>
      </c>
    </row>
    <row r="3" spans="1:17" ht="25" customHeight="1">
      <c r="A3" s="1">
        <v>2</v>
      </c>
      <c r="B3" s="3">
        <v>44720</v>
      </c>
      <c r="C3" s="1" t="s">
        <v>190</v>
      </c>
      <c r="E3" s="1" t="s">
        <v>198</v>
      </c>
      <c r="F3" s="1" t="s">
        <v>900</v>
      </c>
      <c r="G3" s="7">
        <v>507540</v>
      </c>
      <c r="H3" s="7">
        <v>507000</v>
      </c>
      <c r="I3" s="7">
        <v>507000</v>
      </c>
      <c r="J3" s="7">
        <f>ROUNDDOWN(PRODUCT(テーブル2567891011[[#This Row],[市交付確定額]],2)/3,-3)</f>
        <v>338000</v>
      </c>
      <c r="K3" s="7">
        <f>IF(テーブル2567891011[[#This Row],[補助金支出]]="確定払","",テーブル2567891011[[#This Row],[市交付決定額]]-テーブル2567891011[[#This Row],[市交付確定額]])</f>
        <v>0</v>
      </c>
      <c r="L3" s="159" t="s">
        <v>895</v>
      </c>
      <c r="M3" s="3">
        <v>45118</v>
      </c>
      <c r="N3" s="160"/>
      <c r="O3" s="160"/>
      <c r="P3" s="157">
        <v>44865</v>
      </c>
    </row>
    <row r="4" spans="1:17" ht="25" customHeight="1">
      <c r="A4" s="1">
        <v>3</v>
      </c>
      <c r="B4" s="3">
        <v>44728</v>
      </c>
      <c r="C4" s="1" t="s">
        <v>185</v>
      </c>
      <c r="E4" s="1" t="s">
        <v>196</v>
      </c>
      <c r="F4" s="1" t="s">
        <v>899</v>
      </c>
      <c r="G4" s="7">
        <v>1000000</v>
      </c>
      <c r="H4" s="7">
        <v>1000000</v>
      </c>
      <c r="I4" s="7">
        <v>1000000</v>
      </c>
      <c r="J4" s="7">
        <f>ROUNDDOWN(PRODUCT(テーブル2567891011[[#This Row],[市交付確定額]],2)/3,-3)</f>
        <v>666000</v>
      </c>
      <c r="K4" s="7">
        <f>IF(テーブル2567891011[[#This Row],[補助金支出]]="確定払","",テーブル2567891011[[#This Row],[市交付決定額]]-テーブル2567891011[[#This Row],[市交付確定額]])</f>
        <v>0</v>
      </c>
      <c r="L4" s="159" t="s">
        <v>895</v>
      </c>
      <c r="M4" s="3">
        <v>45118</v>
      </c>
      <c r="N4" s="160"/>
      <c r="O4" s="160"/>
      <c r="P4" s="157">
        <v>44866</v>
      </c>
    </row>
    <row r="5" spans="1:17" ht="25" customHeight="1">
      <c r="A5" s="1">
        <v>4</v>
      </c>
      <c r="B5" s="3">
        <v>44728</v>
      </c>
      <c r="C5" s="1" t="s">
        <v>185</v>
      </c>
      <c r="E5" s="1" t="s">
        <v>258</v>
      </c>
      <c r="F5" s="1" t="s">
        <v>900</v>
      </c>
      <c r="G5" s="7">
        <v>1000000</v>
      </c>
      <c r="H5" s="7">
        <v>1000000</v>
      </c>
      <c r="I5" s="7">
        <v>1000000</v>
      </c>
      <c r="J5" s="7">
        <f>ROUNDDOWN(PRODUCT(テーブル2567891011[[#This Row],[市交付確定額]],2)/3,-3)</f>
        <v>666000</v>
      </c>
      <c r="K5" s="7">
        <f>IF(テーブル2567891011[[#This Row],[補助金支出]]="確定払","",テーブル2567891011[[#This Row],[市交付決定額]]-テーブル2567891011[[#This Row],[市交付確定額]])</f>
        <v>0</v>
      </c>
      <c r="L5" s="159" t="s">
        <v>895</v>
      </c>
      <c r="M5" s="3">
        <v>45118</v>
      </c>
      <c r="N5" s="160"/>
      <c r="O5" s="160"/>
      <c r="P5" s="157">
        <v>44866</v>
      </c>
    </row>
    <row r="6" spans="1:17" ht="25" customHeight="1">
      <c r="A6" s="1">
        <v>5</v>
      </c>
      <c r="B6" s="3">
        <v>44728</v>
      </c>
      <c r="C6" s="1" t="s">
        <v>185</v>
      </c>
      <c r="E6" s="1" t="s">
        <v>197</v>
      </c>
      <c r="F6" s="1" t="s">
        <v>900</v>
      </c>
      <c r="G6" s="7">
        <v>1000000</v>
      </c>
      <c r="H6" s="7">
        <v>1000000</v>
      </c>
      <c r="I6" s="7">
        <v>1000000</v>
      </c>
      <c r="J6" s="7">
        <f>ROUNDDOWN(PRODUCT(テーブル2567891011[[#This Row],[市交付確定額]],2)/3,-3)</f>
        <v>666000</v>
      </c>
      <c r="K6" s="7">
        <f>IF(テーブル2567891011[[#This Row],[補助金支出]]="確定払","",テーブル2567891011[[#This Row],[市交付決定額]]-テーブル2567891011[[#This Row],[市交付確定額]])</f>
        <v>0</v>
      </c>
      <c r="L6" s="159" t="s">
        <v>895</v>
      </c>
      <c r="M6" s="3">
        <v>45118</v>
      </c>
      <c r="N6" s="160"/>
      <c r="O6" s="160"/>
      <c r="P6" s="157">
        <v>44866</v>
      </c>
    </row>
    <row r="7" spans="1:17" ht="25" customHeight="1">
      <c r="A7" s="1">
        <v>6</v>
      </c>
      <c r="B7" s="3">
        <v>44721</v>
      </c>
      <c r="C7" s="1" t="s">
        <v>199</v>
      </c>
      <c r="E7" s="1" t="s">
        <v>200</v>
      </c>
      <c r="F7" s="1" t="s">
        <v>899</v>
      </c>
      <c r="G7" s="7">
        <v>1000000</v>
      </c>
      <c r="H7" s="7">
        <v>1000000</v>
      </c>
      <c r="I7" s="7">
        <v>1000000</v>
      </c>
      <c r="J7" s="7">
        <f>ROUNDDOWN(PRODUCT(テーブル2567891011[[#This Row],[市交付確定額]],2)/3,-3)</f>
        <v>666000</v>
      </c>
      <c r="K7" s="7">
        <f>IF(テーブル2567891011[[#This Row],[補助金支出]]="確定払","",テーブル2567891011[[#This Row],[市交付決定額]]-テーブル2567891011[[#This Row],[市交付確定額]])</f>
        <v>0</v>
      </c>
      <c r="L7" s="159" t="s">
        <v>895</v>
      </c>
      <c r="M7" s="3">
        <v>45132</v>
      </c>
      <c r="N7" s="160"/>
      <c r="O7" s="160"/>
      <c r="P7" s="157">
        <v>44922</v>
      </c>
    </row>
    <row r="8" spans="1:17" ht="25" customHeight="1">
      <c r="A8" s="1">
        <v>7</v>
      </c>
      <c r="B8" s="3">
        <v>44721</v>
      </c>
      <c r="C8" s="1" t="s">
        <v>199</v>
      </c>
      <c r="E8" s="1" t="s">
        <v>203</v>
      </c>
      <c r="F8" s="1" t="s">
        <v>899</v>
      </c>
      <c r="G8" s="7">
        <v>1000000</v>
      </c>
      <c r="H8" s="7">
        <v>1000000</v>
      </c>
      <c r="I8" s="7">
        <v>1000000</v>
      </c>
      <c r="J8" s="7">
        <f>ROUNDDOWN(PRODUCT(テーブル2567891011[[#This Row],[市交付確定額]],2)/3,-3)</f>
        <v>666000</v>
      </c>
      <c r="K8" s="7">
        <f>IF(テーブル2567891011[[#This Row],[補助金支出]]="確定払","",テーブル2567891011[[#This Row],[市交付決定額]]-テーブル2567891011[[#This Row],[市交付確定額]])</f>
        <v>0</v>
      </c>
      <c r="L8" s="159" t="s">
        <v>895</v>
      </c>
      <c r="M8" s="3">
        <v>45132</v>
      </c>
      <c r="N8" s="160"/>
      <c r="O8" s="160"/>
      <c r="P8" s="157">
        <v>44922</v>
      </c>
    </row>
    <row r="9" spans="1:17" ht="25" customHeight="1">
      <c r="A9" s="1">
        <v>8</v>
      </c>
      <c r="B9" s="3">
        <v>44721</v>
      </c>
      <c r="C9" s="1" t="s">
        <v>199</v>
      </c>
      <c r="E9" s="1" t="s">
        <v>204</v>
      </c>
      <c r="F9" s="1" t="s">
        <v>899</v>
      </c>
      <c r="G9" s="7">
        <v>1000000</v>
      </c>
      <c r="H9" s="7">
        <v>1000000</v>
      </c>
      <c r="I9" s="7">
        <v>1000000</v>
      </c>
      <c r="J9" s="7">
        <f>ROUNDDOWN(PRODUCT(テーブル2567891011[[#This Row],[市交付確定額]],2)/3,-3)</f>
        <v>666000</v>
      </c>
      <c r="K9" s="7">
        <f>IF(テーブル2567891011[[#This Row],[補助金支出]]="確定払","",テーブル2567891011[[#This Row],[市交付決定額]]-テーブル2567891011[[#This Row],[市交付確定額]])</f>
        <v>0</v>
      </c>
      <c r="L9" s="159" t="s">
        <v>895</v>
      </c>
      <c r="M9" s="3">
        <v>45132</v>
      </c>
      <c r="N9" s="160"/>
      <c r="O9" s="160"/>
      <c r="P9" s="157">
        <v>44922</v>
      </c>
    </row>
    <row r="10" spans="1:17" ht="25" customHeight="1">
      <c r="A10" s="1">
        <v>9</v>
      </c>
      <c r="B10" s="3">
        <v>44749</v>
      </c>
      <c r="C10" s="1" t="s">
        <v>903</v>
      </c>
      <c r="E10" s="1" t="s">
        <v>202</v>
      </c>
      <c r="F10" s="1" t="s">
        <v>900</v>
      </c>
      <c r="G10" s="7">
        <v>658000</v>
      </c>
      <c r="H10" s="7">
        <v>658000</v>
      </c>
      <c r="I10" s="7">
        <v>658000</v>
      </c>
      <c r="J10" s="7">
        <f>ROUNDDOWN(PRODUCT(テーブル2567891011[[#This Row],[市交付確定額]],2)/3,-3)</f>
        <v>438000</v>
      </c>
      <c r="K10" s="7">
        <f>IF(テーブル2567891011[[#This Row],[補助金支出]]="確定払","",テーブル2567891011[[#This Row],[市交付決定額]]-テーブル2567891011[[#This Row],[市交付確定額]])</f>
        <v>0</v>
      </c>
      <c r="L10" s="159" t="s">
        <v>895</v>
      </c>
      <c r="M10" s="3">
        <v>45141</v>
      </c>
      <c r="N10" s="160"/>
      <c r="O10" s="160"/>
      <c r="P10" s="157">
        <v>44861</v>
      </c>
    </row>
    <row r="11" spans="1:17" ht="25" customHeight="1">
      <c r="A11" s="1">
        <v>10</v>
      </c>
      <c r="B11" s="3">
        <v>44722</v>
      </c>
      <c r="C11" s="1" t="s">
        <v>669</v>
      </c>
      <c r="D11" s="1" t="s">
        <v>673</v>
      </c>
      <c r="E11" s="1" t="s">
        <v>677</v>
      </c>
      <c r="F11" s="1" t="s">
        <v>675</v>
      </c>
      <c r="G11" s="7">
        <v>1000000</v>
      </c>
      <c r="H11" s="7">
        <v>1000000</v>
      </c>
      <c r="I11" s="7">
        <v>1000000</v>
      </c>
      <c r="J11" s="7">
        <f>ROUNDDOWN(PRODUCT(テーブル2567891011[[#This Row],[市交付確定額]],2)/3,-3)</f>
        <v>666000</v>
      </c>
      <c r="K11" s="7">
        <f>IF(テーブル2567891011[[#This Row],[補助金支出]]="確定払","",テーブル2567891011[[#This Row],[市交付決定額]]-テーブル2567891011[[#This Row],[市交付確定額]])</f>
        <v>0</v>
      </c>
      <c r="L11" s="159" t="s">
        <v>895</v>
      </c>
      <c r="M11" s="3">
        <v>45162</v>
      </c>
      <c r="N11" s="160"/>
      <c r="O11" s="160"/>
      <c r="P11" s="157" t="s">
        <v>885</v>
      </c>
      <c r="Q11" s="1">
        <v>1361</v>
      </c>
    </row>
    <row r="12" spans="1:17" ht="25" customHeight="1">
      <c r="A12" s="1">
        <v>11</v>
      </c>
      <c r="B12" s="3">
        <v>44725</v>
      </c>
      <c r="C12" s="1" t="s">
        <v>682</v>
      </c>
      <c r="D12" s="1" t="s">
        <v>686</v>
      </c>
      <c r="E12" s="1" t="s">
        <v>206</v>
      </c>
      <c r="F12" s="1" t="s">
        <v>688</v>
      </c>
      <c r="G12" s="7">
        <v>155802</v>
      </c>
      <c r="H12" s="7">
        <v>155000</v>
      </c>
      <c r="I12" s="7">
        <v>151000</v>
      </c>
      <c r="J12" s="7">
        <f>ROUNDDOWN(PRODUCT(テーブル2567891011[[#This Row],[市交付確定額]],2)/3,-3)</f>
        <v>100000</v>
      </c>
      <c r="K12" s="7">
        <f>IF(テーブル2567891011[[#This Row],[補助金支出]]="確定払","",テーブル2567891011[[#This Row],[市交付決定額]]-テーブル2567891011[[#This Row],[市交付確定額]])</f>
        <v>4000</v>
      </c>
      <c r="L12" s="159" t="s">
        <v>895</v>
      </c>
      <c r="M12" s="3">
        <v>45162</v>
      </c>
      <c r="N12" s="160"/>
      <c r="O12" s="160" t="s">
        <v>902</v>
      </c>
      <c r="P12" s="157" t="s">
        <v>880</v>
      </c>
      <c r="Q12" s="1">
        <v>1362</v>
      </c>
    </row>
    <row r="13" spans="1:17" ht="25" customHeight="1">
      <c r="A13" s="1">
        <v>12</v>
      </c>
      <c r="B13" s="3">
        <v>44761</v>
      </c>
      <c r="C13" s="1" t="s">
        <v>682</v>
      </c>
      <c r="D13" s="1" t="s">
        <v>686</v>
      </c>
      <c r="E13" s="1" t="s">
        <v>210</v>
      </c>
      <c r="F13" s="1" t="s">
        <v>688</v>
      </c>
      <c r="G13" s="7">
        <v>461119</v>
      </c>
      <c r="H13" s="158">
        <v>463000</v>
      </c>
      <c r="I13" s="158">
        <v>463000</v>
      </c>
      <c r="J13" s="7">
        <f>ROUNDDOWN(PRODUCT(テーブル2567891011[[#This Row],[市交付確定額]],2)/3,-3)</f>
        <v>308000</v>
      </c>
      <c r="K13" s="7">
        <f>IF(テーブル2567891011[[#This Row],[補助金支出]]="確定払","",テーブル2567891011[[#This Row],[市交付決定額]]-テーブル2567891011[[#This Row],[市交付確定額]])</f>
        <v>0</v>
      </c>
      <c r="L13" s="159" t="s">
        <v>895</v>
      </c>
      <c r="M13" s="3">
        <v>45162</v>
      </c>
      <c r="N13" s="160" t="s">
        <v>907</v>
      </c>
      <c r="O13" s="160" t="s">
        <v>902</v>
      </c>
      <c r="P13" s="157" t="s">
        <v>889</v>
      </c>
      <c r="Q13" s="1">
        <v>1363</v>
      </c>
    </row>
    <row r="14" spans="1:17" ht="25" customHeight="1">
      <c r="A14" s="1">
        <v>13</v>
      </c>
      <c r="B14" s="3">
        <v>44726</v>
      </c>
      <c r="C14" s="1" t="s">
        <v>682</v>
      </c>
      <c r="D14" s="1" t="s">
        <v>686</v>
      </c>
      <c r="E14" s="1" t="s">
        <v>697</v>
      </c>
      <c r="F14" s="1" t="s">
        <v>695</v>
      </c>
      <c r="G14" s="7">
        <v>1000000</v>
      </c>
      <c r="H14" s="7">
        <v>1000000</v>
      </c>
      <c r="I14" s="7">
        <v>971000</v>
      </c>
      <c r="J14" s="7">
        <f>ROUNDDOWN(PRODUCT(テーブル2567891011[[#This Row],[市交付確定額]],2)/3,-3)</f>
        <v>647000</v>
      </c>
      <c r="K14" s="7">
        <f>IF(テーブル2567891011[[#This Row],[補助金支出]]="確定払","",テーブル2567891011[[#This Row],[市交付決定額]]-テーブル2567891011[[#This Row],[市交付確定額]])</f>
        <v>29000</v>
      </c>
      <c r="L14" s="159" t="s">
        <v>895</v>
      </c>
      <c r="M14" s="3">
        <v>45162</v>
      </c>
      <c r="N14" s="160"/>
      <c r="O14" s="160" t="s">
        <v>902</v>
      </c>
      <c r="P14" s="157" t="s">
        <v>880</v>
      </c>
      <c r="Q14" s="1">
        <v>1364</v>
      </c>
    </row>
    <row r="15" spans="1:17" ht="25" customHeight="1">
      <c r="A15" s="1">
        <v>14</v>
      </c>
      <c r="B15" s="3">
        <v>44725</v>
      </c>
      <c r="C15" s="1" t="s">
        <v>682</v>
      </c>
      <c r="D15" s="1" t="s">
        <v>686</v>
      </c>
      <c r="E15" s="1" t="s">
        <v>701</v>
      </c>
      <c r="F15" s="1" t="s">
        <v>695</v>
      </c>
      <c r="G15" s="7">
        <v>637422</v>
      </c>
      <c r="H15" s="7">
        <v>637000</v>
      </c>
      <c r="I15" s="7">
        <v>635000</v>
      </c>
      <c r="J15" s="7">
        <f>ROUNDDOWN(PRODUCT(テーブル2567891011[[#This Row],[市交付確定額]],2)/3,-3)</f>
        <v>423000</v>
      </c>
      <c r="K15" s="7">
        <f>IF(テーブル2567891011[[#This Row],[補助金支出]]="確定払","",テーブル2567891011[[#This Row],[市交付決定額]]-テーブル2567891011[[#This Row],[市交付確定額]])</f>
        <v>2000</v>
      </c>
      <c r="L15" s="159" t="s">
        <v>895</v>
      </c>
      <c r="M15" s="3">
        <v>45162</v>
      </c>
      <c r="N15" s="160"/>
      <c r="O15" s="160" t="s">
        <v>902</v>
      </c>
      <c r="P15" s="157" t="s">
        <v>880</v>
      </c>
      <c r="Q15" s="1">
        <v>1365</v>
      </c>
    </row>
    <row r="16" spans="1:17" ht="25" customHeight="1">
      <c r="A16" s="1">
        <v>15</v>
      </c>
      <c r="B16" s="3">
        <v>44725</v>
      </c>
      <c r="C16" s="1" t="s">
        <v>682</v>
      </c>
      <c r="D16" s="1" t="s">
        <v>686</v>
      </c>
      <c r="E16" s="1" t="s">
        <v>704</v>
      </c>
      <c r="F16" s="1" t="s">
        <v>695</v>
      </c>
      <c r="G16" s="7">
        <v>643286</v>
      </c>
      <c r="H16" s="7">
        <v>643000</v>
      </c>
      <c r="I16" s="7">
        <v>618000</v>
      </c>
      <c r="J16" s="7">
        <f>ROUNDDOWN(PRODUCT(テーブル2567891011[[#This Row],[市交付確定額]],2)/3,-3)</f>
        <v>412000</v>
      </c>
      <c r="K16" s="7">
        <f>IF(テーブル2567891011[[#This Row],[補助金支出]]="確定払","",テーブル2567891011[[#This Row],[市交付決定額]]-テーブル2567891011[[#This Row],[市交付確定額]])</f>
        <v>25000</v>
      </c>
      <c r="L16" s="159" t="s">
        <v>895</v>
      </c>
      <c r="M16" s="3">
        <v>45162</v>
      </c>
      <c r="N16" s="160"/>
      <c r="O16" s="160" t="s">
        <v>902</v>
      </c>
      <c r="P16" s="157" t="s">
        <v>880</v>
      </c>
      <c r="Q16" s="1">
        <v>1366</v>
      </c>
    </row>
    <row r="17" spans="1:17" ht="25" customHeight="1">
      <c r="A17" s="1">
        <v>16</v>
      </c>
      <c r="B17" s="3">
        <v>44722</v>
      </c>
      <c r="C17" s="1" t="s">
        <v>682</v>
      </c>
      <c r="D17" s="1" t="s">
        <v>686</v>
      </c>
      <c r="E17" s="1" t="s">
        <v>707</v>
      </c>
      <c r="F17" s="1" t="s">
        <v>695</v>
      </c>
      <c r="G17" s="7">
        <v>918308</v>
      </c>
      <c r="H17" s="7">
        <v>918000</v>
      </c>
      <c r="I17" s="7">
        <v>911000</v>
      </c>
      <c r="J17" s="7">
        <f>ROUNDDOWN(PRODUCT(テーブル2567891011[[#This Row],[市交付確定額]],2)/3,-3)</f>
        <v>607000</v>
      </c>
      <c r="K17" s="7">
        <f>IF(テーブル2567891011[[#This Row],[補助金支出]]="確定払","",テーブル2567891011[[#This Row],[市交付決定額]]-テーブル2567891011[[#This Row],[市交付確定額]])</f>
        <v>7000</v>
      </c>
      <c r="L17" s="159" t="s">
        <v>895</v>
      </c>
      <c r="M17" s="3">
        <v>45162</v>
      </c>
      <c r="N17" s="160"/>
      <c r="O17" s="160" t="s">
        <v>902</v>
      </c>
      <c r="P17" s="157" t="s">
        <v>880</v>
      </c>
      <c r="Q17" s="1">
        <v>1367</v>
      </c>
    </row>
    <row r="18" spans="1:17" ht="25" customHeight="1">
      <c r="A18" s="1">
        <v>17</v>
      </c>
      <c r="B18" s="3">
        <v>44726</v>
      </c>
      <c r="C18" s="1" t="s">
        <v>682</v>
      </c>
      <c r="D18" s="1" t="s">
        <v>686</v>
      </c>
      <c r="E18" s="1" t="s">
        <v>712</v>
      </c>
      <c r="F18" s="1" t="s">
        <v>710</v>
      </c>
      <c r="G18" s="7">
        <v>858045</v>
      </c>
      <c r="H18" s="158">
        <v>922000</v>
      </c>
      <c r="I18" s="158">
        <v>922000</v>
      </c>
      <c r="J18" s="7">
        <f>ROUNDDOWN(PRODUCT(テーブル2567891011[[#This Row],[市交付確定額]],2)/3,-3)</f>
        <v>614000</v>
      </c>
      <c r="K18" s="7">
        <f>IF(テーブル2567891011[[#This Row],[補助金支出]]="確定払","",テーブル2567891011[[#This Row],[市交付決定額]]-テーブル2567891011[[#This Row],[市交付確定額]])</f>
        <v>0</v>
      </c>
      <c r="L18" s="159" t="s">
        <v>895</v>
      </c>
      <c r="M18" s="3">
        <v>45162</v>
      </c>
      <c r="N18" s="160" t="s">
        <v>907</v>
      </c>
      <c r="O18" s="160" t="s">
        <v>902</v>
      </c>
      <c r="P18" s="157" t="s">
        <v>889</v>
      </c>
      <c r="Q18" s="1">
        <v>1368</v>
      </c>
    </row>
    <row r="19" spans="1:17" ht="25" customHeight="1">
      <c r="A19" s="1">
        <v>18</v>
      </c>
      <c r="B19" s="3">
        <v>44761</v>
      </c>
      <c r="C19" s="1" t="s">
        <v>715</v>
      </c>
      <c r="D19" s="1" t="s">
        <v>686</v>
      </c>
      <c r="E19" s="1" t="s">
        <v>719</v>
      </c>
      <c r="F19" s="1" t="s">
        <v>717</v>
      </c>
      <c r="G19" s="7">
        <v>554601</v>
      </c>
      <c r="H19" s="7">
        <v>554000</v>
      </c>
      <c r="I19" s="7">
        <v>551000</v>
      </c>
      <c r="J19" s="7">
        <f>ROUNDDOWN(PRODUCT(テーブル2567891011[[#This Row],[市交付確定額]],2)/3,-3)</f>
        <v>367000</v>
      </c>
      <c r="K19" s="7">
        <f>IF(テーブル2567891011[[#This Row],[補助金支出]]="確定払","",テーブル2567891011[[#This Row],[市交付決定額]]-テーブル2567891011[[#This Row],[市交付確定額]])</f>
        <v>3000</v>
      </c>
      <c r="L19" s="159" t="s">
        <v>895</v>
      </c>
      <c r="M19" s="3">
        <v>45162</v>
      </c>
      <c r="N19" s="160"/>
      <c r="O19" s="160" t="s">
        <v>902</v>
      </c>
      <c r="P19" s="157" t="s">
        <v>880</v>
      </c>
      <c r="Q19" s="1">
        <v>1369</v>
      </c>
    </row>
    <row r="20" spans="1:17" ht="25" customHeight="1">
      <c r="A20" s="1">
        <v>19</v>
      </c>
      <c r="B20" s="3">
        <v>44726</v>
      </c>
      <c r="C20" s="1" t="s">
        <v>723</v>
      </c>
      <c r="D20" s="1" t="s">
        <v>727</v>
      </c>
      <c r="E20" s="1" t="s">
        <v>234</v>
      </c>
      <c r="F20" s="1" t="s">
        <v>695</v>
      </c>
      <c r="G20" s="7">
        <v>1000000</v>
      </c>
      <c r="H20" s="7">
        <v>1000000</v>
      </c>
      <c r="I20" s="7">
        <v>1000000</v>
      </c>
      <c r="J20" s="7">
        <f>ROUNDDOWN(PRODUCT(テーブル2567891011[[#This Row],[市交付確定額]],2)/3,-3)</f>
        <v>666000</v>
      </c>
      <c r="K20" s="7">
        <f>IF(テーブル2567891011[[#This Row],[補助金支出]]="確定払","",テーブル2567891011[[#This Row],[市交付決定額]]-テーブル2567891011[[#This Row],[市交付確定額]])</f>
        <v>0</v>
      </c>
      <c r="L20" s="159" t="s">
        <v>895</v>
      </c>
      <c r="M20" s="3">
        <v>45162</v>
      </c>
      <c r="N20" s="160"/>
      <c r="O20" s="160"/>
      <c r="P20" s="157" t="s">
        <v>877</v>
      </c>
      <c r="Q20" s="1">
        <v>1370</v>
      </c>
    </row>
    <row r="21" spans="1:17" ht="25" customHeight="1">
      <c r="A21" s="1">
        <v>20</v>
      </c>
      <c r="B21" s="3">
        <v>44749</v>
      </c>
      <c r="C21" s="1" t="s">
        <v>903</v>
      </c>
      <c r="D21" s="1" t="s">
        <v>736</v>
      </c>
      <c r="E21" s="1" t="s">
        <v>850</v>
      </c>
      <c r="F21" s="1" t="s">
        <v>717</v>
      </c>
      <c r="G21" s="7">
        <v>434000</v>
      </c>
      <c r="H21" s="7">
        <v>434000</v>
      </c>
      <c r="I21" s="7">
        <v>434000</v>
      </c>
      <c r="J21" s="7">
        <f>ROUNDDOWN(PRODUCT(テーブル2567891011[[#This Row],[市交付確定額]],2)/3,-3)</f>
        <v>289000</v>
      </c>
      <c r="K21" s="7">
        <f>IF(テーブル2567891011[[#This Row],[補助金支出]]="確定払","",テーブル2567891011[[#This Row],[市交付決定額]]-テーブル2567891011[[#This Row],[市交付確定額]])</f>
        <v>0</v>
      </c>
      <c r="L21" s="159" t="s">
        <v>895</v>
      </c>
      <c r="M21" s="3">
        <v>45162</v>
      </c>
      <c r="N21" s="160"/>
      <c r="O21" s="160"/>
      <c r="P21" s="157" t="s">
        <v>881</v>
      </c>
      <c r="Q21" s="1">
        <v>1371</v>
      </c>
    </row>
    <row r="22" spans="1:17" ht="25" customHeight="1">
      <c r="A22" s="1">
        <v>21</v>
      </c>
      <c r="B22" s="3">
        <v>44749</v>
      </c>
      <c r="C22" s="1" t="s">
        <v>903</v>
      </c>
      <c r="D22" s="1" t="s">
        <v>740</v>
      </c>
      <c r="E22" s="1" t="s">
        <v>742</v>
      </c>
      <c r="F22" s="1" t="s">
        <v>710</v>
      </c>
      <c r="G22" s="7">
        <v>644000</v>
      </c>
      <c r="H22" s="7">
        <v>644000</v>
      </c>
      <c r="I22" s="7">
        <v>644000</v>
      </c>
      <c r="J22" s="7">
        <f>ROUNDDOWN(PRODUCT(テーブル2567891011[[#This Row],[市交付確定額]],2)/3,-3)</f>
        <v>429000</v>
      </c>
      <c r="K22" s="7">
        <f>IF(テーブル2567891011[[#This Row],[補助金支出]]="確定払","",テーブル2567891011[[#This Row],[市交付決定額]]-テーブル2567891011[[#This Row],[市交付確定額]])</f>
        <v>0</v>
      </c>
      <c r="L22" s="159" t="s">
        <v>895</v>
      </c>
      <c r="M22" s="3">
        <v>45162</v>
      </c>
      <c r="N22" s="160"/>
      <c r="O22" s="160"/>
      <c r="P22" s="157" t="s">
        <v>879</v>
      </c>
      <c r="Q22" s="1">
        <v>1372</v>
      </c>
    </row>
    <row r="23" spans="1:17" ht="25" customHeight="1">
      <c r="A23" s="1">
        <v>22</v>
      </c>
      <c r="B23" s="3">
        <v>44722</v>
      </c>
      <c r="C23" s="1" t="s">
        <v>745</v>
      </c>
      <c r="D23" s="1" t="s">
        <v>749</v>
      </c>
      <c r="E23" s="1" t="s">
        <v>753</v>
      </c>
      <c r="F23" s="1" t="s">
        <v>751</v>
      </c>
      <c r="G23" s="7">
        <v>117696</v>
      </c>
      <c r="H23" s="7">
        <v>117000</v>
      </c>
      <c r="I23" s="7">
        <v>117000</v>
      </c>
      <c r="J23" s="7">
        <f>ROUNDDOWN(PRODUCT(テーブル2567891011[[#This Row],[市交付確定額]],2)/3,-3)</f>
        <v>78000</v>
      </c>
      <c r="K23" s="7">
        <f>IF(テーブル2567891011[[#This Row],[補助金支出]]="確定払","",テーブル2567891011[[#This Row],[市交付決定額]]-テーブル2567891011[[#This Row],[市交付確定額]])</f>
        <v>0</v>
      </c>
      <c r="L23" s="159" t="s">
        <v>895</v>
      </c>
      <c r="M23" s="3">
        <v>45162</v>
      </c>
      <c r="N23" s="160"/>
      <c r="O23" s="160"/>
      <c r="P23" s="157" t="s">
        <v>881</v>
      </c>
      <c r="Q23" s="1">
        <v>1373</v>
      </c>
    </row>
    <row r="24" spans="1:17" ht="25" customHeight="1">
      <c r="A24" s="1">
        <v>23</v>
      </c>
      <c r="B24" s="3">
        <v>44722</v>
      </c>
      <c r="C24" s="1" t="s">
        <v>756</v>
      </c>
      <c r="D24" s="1" t="s">
        <v>760</v>
      </c>
      <c r="E24" s="1" t="s">
        <v>248</v>
      </c>
      <c r="F24" s="1" t="s">
        <v>695</v>
      </c>
      <c r="G24" s="7">
        <v>1000000</v>
      </c>
      <c r="H24" s="7">
        <v>1000000</v>
      </c>
      <c r="I24" s="7">
        <v>1000000</v>
      </c>
      <c r="J24" s="7">
        <f>ROUNDDOWN(PRODUCT(テーブル2567891011[[#This Row],[市交付確定額]],2)/3,-3)</f>
        <v>666000</v>
      </c>
      <c r="K24" s="7">
        <f>IF(テーブル2567891011[[#This Row],[補助金支出]]="確定払","",テーブル2567891011[[#This Row],[市交付決定額]]-テーブル2567891011[[#This Row],[市交付確定額]])</f>
        <v>0</v>
      </c>
      <c r="L24" s="159" t="s">
        <v>895</v>
      </c>
      <c r="M24" s="3">
        <v>45162</v>
      </c>
      <c r="N24" s="160"/>
      <c r="O24" s="160"/>
      <c r="P24" s="157" t="s">
        <v>879</v>
      </c>
      <c r="Q24" s="1">
        <v>1374</v>
      </c>
    </row>
    <row r="25" spans="1:17" ht="25" customHeight="1">
      <c r="A25" s="1">
        <v>24</v>
      </c>
      <c r="B25" s="3">
        <v>44725</v>
      </c>
      <c r="C25" s="1" t="s">
        <v>904</v>
      </c>
      <c r="D25" s="1" t="s">
        <v>768</v>
      </c>
      <c r="E25" s="1" t="s">
        <v>240</v>
      </c>
      <c r="F25" s="1" t="s">
        <v>770</v>
      </c>
      <c r="G25" s="7">
        <v>184300</v>
      </c>
      <c r="H25" s="7">
        <v>184000</v>
      </c>
      <c r="I25" s="7">
        <v>184000</v>
      </c>
      <c r="J25" s="7">
        <f>ROUNDDOWN(PRODUCT(テーブル2567891011[[#This Row],[市交付確定額]],2)/3,-3)</f>
        <v>122000</v>
      </c>
      <c r="K25" s="7">
        <f>IF(テーブル2567891011[[#This Row],[補助金支出]]="確定払","",テーブル2567891011[[#This Row],[市交付決定額]]-テーブル2567891011[[#This Row],[市交付確定額]])</f>
        <v>0</v>
      </c>
      <c r="L25" s="159" t="s">
        <v>895</v>
      </c>
      <c r="M25" s="3">
        <v>45162</v>
      </c>
      <c r="N25" s="160"/>
      <c r="O25" s="160"/>
      <c r="P25" s="157" t="s">
        <v>887</v>
      </c>
      <c r="Q25" s="1">
        <v>1375</v>
      </c>
    </row>
    <row r="26" spans="1:17" ht="25" customHeight="1">
      <c r="A26" s="1">
        <v>25</v>
      </c>
      <c r="B26" s="3">
        <v>44725</v>
      </c>
      <c r="C26" s="1" t="s">
        <v>904</v>
      </c>
      <c r="D26" s="1" t="s">
        <v>768</v>
      </c>
      <c r="E26" s="1" t="s">
        <v>242</v>
      </c>
      <c r="F26" s="1" t="s">
        <v>717</v>
      </c>
      <c r="G26" s="7">
        <v>37960</v>
      </c>
      <c r="H26" s="7">
        <v>37000</v>
      </c>
      <c r="I26" s="7">
        <v>37000</v>
      </c>
      <c r="J26" s="7">
        <f>ROUNDDOWN(PRODUCT(テーブル2567891011[[#This Row],[市交付確定額]],2)/3,-3)</f>
        <v>24000</v>
      </c>
      <c r="K26" s="7">
        <f>IF(テーブル2567891011[[#This Row],[補助金支出]]="確定払","",テーブル2567891011[[#This Row],[市交付決定額]]-テーブル2567891011[[#This Row],[市交付確定額]])</f>
        <v>0</v>
      </c>
      <c r="L26" s="159" t="s">
        <v>895</v>
      </c>
      <c r="M26" s="3">
        <v>45162</v>
      </c>
      <c r="N26" s="160"/>
      <c r="O26" s="160"/>
      <c r="P26" s="157" t="s">
        <v>882</v>
      </c>
      <c r="Q26" s="1">
        <v>1376</v>
      </c>
    </row>
    <row r="27" spans="1:17" ht="25" customHeight="1">
      <c r="A27" s="1">
        <v>26</v>
      </c>
      <c r="B27" s="3">
        <v>44725</v>
      </c>
      <c r="C27" s="1" t="s">
        <v>904</v>
      </c>
      <c r="D27" s="1" t="s">
        <v>768</v>
      </c>
      <c r="E27" s="1" t="s">
        <v>779</v>
      </c>
      <c r="F27" s="1" t="s">
        <v>710</v>
      </c>
      <c r="G27" s="7">
        <v>75920</v>
      </c>
      <c r="H27" s="7">
        <v>75000</v>
      </c>
      <c r="I27" s="7">
        <v>75000</v>
      </c>
      <c r="J27" s="7">
        <f>ROUNDDOWN(PRODUCT(テーブル2567891011[[#This Row],[市交付確定額]],2)/3,-3)</f>
        <v>50000</v>
      </c>
      <c r="K27" s="7">
        <f>IF(テーブル2567891011[[#This Row],[補助金支出]]="確定払","",テーブル2567891011[[#This Row],[市交付決定額]]-テーブル2567891011[[#This Row],[市交付確定額]])</f>
        <v>0</v>
      </c>
      <c r="L27" s="159" t="s">
        <v>895</v>
      </c>
      <c r="M27" s="3">
        <v>45162</v>
      </c>
      <c r="N27" s="160"/>
      <c r="O27" s="160"/>
      <c r="P27" s="157" t="s">
        <v>882</v>
      </c>
      <c r="Q27" s="1">
        <v>1377</v>
      </c>
    </row>
    <row r="28" spans="1:17" ht="25" customHeight="1">
      <c r="A28" s="1">
        <v>27</v>
      </c>
      <c r="B28" s="3">
        <v>44723</v>
      </c>
      <c r="C28" s="1" t="s">
        <v>904</v>
      </c>
      <c r="D28" s="1" t="s">
        <v>768</v>
      </c>
      <c r="E28" s="1" t="s">
        <v>237</v>
      </c>
      <c r="F28" s="1" t="s">
        <v>781</v>
      </c>
      <c r="G28" s="7">
        <v>330640</v>
      </c>
      <c r="H28" s="7">
        <v>330000</v>
      </c>
      <c r="I28" s="7">
        <v>330000</v>
      </c>
      <c r="J28" s="7">
        <f>ROUNDDOWN(PRODUCT(テーブル2567891011[[#This Row],[市交付確定額]],2)/3,-3)</f>
        <v>220000</v>
      </c>
      <c r="K28" s="7">
        <f>IF(テーブル2567891011[[#This Row],[補助金支出]]="確定払","",テーブル2567891011[[#This Row],[市交付決定額]]-テーブル2567891011[[#This Row],[市交付確定額]])</f>
        <v>0</v>
      </c>
      <c r="L28" s="159" t="s">
        <v>895</v>
      </c>
      <c r="M28" s="3">
        <v>45162</v>
      </c>
      <c r="N28" s="160"/>
      <c r="O28" s="160"/>
      <c r="P28" s="157" t="s">
        <v>887</v>
      </c>
      <c r="Q28" s="1">
        <v>1378</v>
      </c>
    </row>
    <row r="29" spans="1:17" ht="25" customHeight="1">
      <c r="A29" s="1">
        <v>28</v>
      </c>
      <c r="B29" s="3">
        <v>44723</v>
      </c>
      <c r="C29" s="1" t="s">
        <v>904</v>
      </c>
      <c r="D29" s="1" t="s">
        <v>768</v>
      </c>
      <c r="E29" s="1" t="s">
        <v>238</v>
      </c>
      <c r="F29" s="1" t="s">
        <v>781</v>
      </c>
      <c r="G29" s="7">
        <v>233080</v>
      </c>
      <c r="H29" s="7">
        <v>233000</v>
      </c>
      <c r="I29" s="7">
        <v>233000</v>
      </c>
      <c r="J29" s="7">
        <f>ROUNDDOWN(PRODUCT(テーブル2567891011[[#This Row],[市交付確定額]],2)/3,-3)</f>
        <v>155000</v>
      </c>
      <c r="K29" s="7">
        <f>IF(テーブル2567891011[[#This Row],[補助金支出]]="確定払","",テーブル2567891011[[#This Row],[市交付決定額]]-テーブル2567891011[[#This Row],[市交付確定額]])</f>
        <v>0</v>
      </c>
      <c r="L29" s="159" t="s">
        <v>895</v>
      </c>
      <c r="M29" s="3">
        <v>45162</v>
      </c>
      <c r="N29" s="160"/>
      <c r="O29" s="160"/>
      <c r="P29" s="157" t="s">
        <v>887</v>
      </c>
      <c r="Q29" s="1">
        <v>1379</v>
      </c>
    </row>
    <row r="30" spans="1:17" ht="25" customHeight="1">
      <c r="A30" s="1">
        <v>29</v>
      </c>
      <c r="B30" s="3">
        <v>44723</v>
      </c>
      <c r="C30" s="1" t="s">
        <v>904</v>
      </c>
      <c r="D30" s="1" t="s">
        <v>768</v>
      </c>
      <c r="E30" s="1" t="s">
        <v>239</v>
      </c>
      <c r="F30" s="1" t="s">
        <v>781</v>
      </c>
      <c r="G30" s="7">
        <v>281860</v>
      </c>
      <c r="H30" s="7">
        <v>281000</v>
      </c>
      <c r="I30" s="7">
        <v>281000</v>
      </c>
      <c r="J30" s="7">
        <f>ROUNDDOWN(PRODUCT(テーブル2567891011[[#This Row],[市交付確定額]],2)/3,-3)</f>
        <v>187000</v>
      </c>
      <c r="K30" s="7">
        <f>IF(テーブル2567891011[[#This Row],[補助金支出]]="確定払","",テーブル2567891011[[#This Row],[市交付決定額]]-テーブル2567891011[[#This Row],[市交付確定額]])</f>
        <v>0</v>
      </c>
      <c r="L30" s="159" t="s">
        <v>895</v>
      </c>
      <c r="M30" s="3">
        <v>45162</v>
      </c>
      <c r="N30" s="160"/>
      <c r="O30" s="160"/>
      <c r="P30" s="157" t="s">
        <v>887</v>
      </c>
      <c r="Q30" s="1">
        <v>1380</v>
      </c>
    </row>
    <row r="31" spans="1:17" ht="25" customHeight="1">
      <c r="A31" s="1">
        <v>30</v>
      </c>
      <c r="B31" s="3">
        <v>44722</v>
      </c>
      <c r="C31" s="1" t="s">
        <v>787</v>
      </c>
      <c r="D31" s="1" t="s">
        <v>791</v>
      </c>
      <c r="E31" s="1" t="s">
        <v>243</v>
      </c>
      <c r="F31" s="1" t="s">
        <v>717</v>
      </c>
      <c r="G31" s="7">
        <v>611380</v>
      </c>
      <c r="H31" s="7">
        <v>611000</v>
      </c>
      <c r="I31" s="7">
        <v>611000</v>
      </c>
      <c r="J31" s="7">
        <f>ROUNDDOWN(PRODUCT(テーブル2567891011[[#This Row],[市交付確定額]],2)/3,-3)</f>
        <v>407000</v>
      </c>
      <c r="K31" s="7">
        <f>IF(テーブル2567891011[[#This Row],[補助金支出]]="確定払","",テーブル2567891011[[#This Row],[市交付決定額]]-テーブル2567891011[[#This Row],[市交付確定額]])</f>
        <v>0</v>
      </c>
      <c r="L31" s="159" t="s">
        <v>895</v>
      </c>
      <c r="M31" s="3">
        <v>45162</v>
      </c>
      <c r="N31" s="160"/>
      <c r="O31" s="160"/>
      <c r="P31" s="157" t="s">
        <v>883</v>
      </c>
      <c r="Q31" s="1">
        <v>1381</v>
      </c>
    </row>
    <row r="32" spans="1:17" ht="25" customHeight="1">
      <c r="A32" s="1">
        <v>31</v>
      </c>
      <c r="B32" s="3">
        <v>44721</v>
      </c>
      <c r="C32" s="1" t="s">
        <v>795</v>
      </c>
      <c r="D32" s="1" t="s">
        <v>799</v>
      </c>
      <c r="E32" s="1" t="s">
        <v>801</v>
      </c>
      <c r="F32" s="1" t="s">
        <v>717</v>
      </c>
      <c r="G32" s="7">
        <v>666600</v>
      </c>
      <c r="H32" s="7">
        <v>666000</v>
      </c>
      <c r="I32" s="7">
        <v>666000</v>
      </c>
      <c r="J32" s="7">
        <f>ROUNDDOWN(PRODUCT(テーブル2567891011[[#This Row],[市交付確定額]],2)/3,-3)</f>
        <v>444000</v>
      </c>
      <c r="K32" s="7">
        <f>IF(テーブル2567891011[[#This Row],[補助金支出]]="確定払","",テーブル2567891011[[#This Row],[市交付決定額]]-テーブル2567891011[[#This Row],[市交付確定額]])</f>
        <v>0</v>
      </c>
      <c r="L32" s="159" t="s">
        <v>895</v>
      </c>
      <c r="M32" s="3">
        <v>45162</v>
      </c>
      <c r="N32" s="160"/>
      <c r="O32" s="160"/>
      <c r="P32" s="157" t="s">
        <v>884</v>
      </c>
      <c r="Q32" s="1">
        <v>1382</v>
      </c>
    </row>
    <row r="33" spans="1:17" ht="25" customHeight="1">
      <c r="A33" s="1">
        <v>32</v>
      </c>
      <c r="B33" s="3">
        <v>44714</v>
      </c>
      <c r="C33" s="1" t="s">
        <v>905</v>
      </c>
      <c r="D33" s="1" t="s">
        <v>808</v>
      </c>
      <c r="E33" s="1" t="s">
        <v>810</v>
      </c>
      <c r="F33" s="1" t="s">
        <v>710</v>
      </c>
      <c r="G33" s="7">
        <v>772830</v>
      </c>
      <c r="H33" s="158">
        <v>774000</v>
      </c>
      <c r="I33" s="158">
        <v>774000</v>
      </c>
      <c r="J33" s="7">
        <f>ROUNDDOWN(PRODUCT(テーブル2567891011[[#This Row],[市交付確定額]],2)/3,-3)</f>
        <v>516000</v>
      </c>
      <c r="K33" s="7">
        <f>IF(テーブル2567891011[[#This Row],[補助金支出]]="確定払","",テーブル2567891011[[#This Row],[市交付決定額]]-テーブル2567891011[[#This Row],[市交付確定額]])</f>
        <v>0</v>
      </c>
      <c r="L33" s="159" t="s">
        <v>895</v>
      </c>
      <c r="M33" s="3">
        <v>45162</v>
      </c>
      <c r="N33" s="160" t="s">
        <v>907</v>
      </c>
      <c r="O33" s="160" t="s">
        <v>902</v>
      </c>
      <c r="P33" s="157" t="s">
        <v>890</v>
      </c>
      <c r="Q33" s="1">
        <v>1383</v>
      </c>
    </row>
    <row r="34" spans="1:17" ht="25" customHeight="1">
      <c r="A34" s="1">
        <v>33</v>
      </c>
      <c r="B34" s="3">
        <v>44715</v>
      </c>
      <c r="C34" s="1" t="s">
        <v>813</v>
      </c>
      <c r="D34" s="1" t="s">
        <v>817</v>
      </c>
      <c r="E34" s="1" t="s">
        <v>819</v>
      </c>
      <c r="F34" s="1" t="s">
        <v>710</v>
      </c>
      <c r="G34" s="7">
        <v>199100</v>
      </c>
      <c r="H34" s="7">
        <v>199000</v>
      </c>
      <c r="I34" s="7">
        <v>199000</v>
      </c>
      <c r="J34" s="7">
        <f>ROUNDDOWN(PRODUCT(テーブル2567891011[[#This Row],[市交付確定額]],2)/3,-3)</f>
        <v>132000</v>
      </c>
      <c r="K34" s="7">
        <f>IF(テーブル2567891011[[#This Row],[補助金支出]]="確定払","",テーブル2567891011[[#This Row],[市交付決定額]]-テーブル2567891011[[#This Row],[市交付確定額]])</f>
        <v>0</v>
      </c>
      <c r="L34" s="159" t="s">
        <v>895</v>
      </c>
      <c r="M34" s="3">
        <v>45162</v>
      </c>
      <c r="N34" s="160"/>
      <c r="O34" s="160"/>
      <c r="P34" s="157" t="s">
        <v>891</v>
      </c>
      <c r="Q34" s="1">
        <v>1384</v>
      </c>
    </row>
    <row r="35" spans="1:17" ht="25" customHeight="1">
      <c r="A35" s="1">
        <v>34</v>
      </c>
      <c r="B35" s="3">
        <v>44725</v>
      </c>
      <c r="C35" s="1" t="s">
        <v>224</v>
      </c>
      <c r="D35" s="1" t="s">
        <v>825</v>
      </c>
      <c r="E35" s="1" t="s">
        <v>827</v>
      </c>
      <c r="F35" s="1" t="s">
        <v>781</v>
      </c>
      <c r="G35" s="7">
        <v>863614</v>
      </c>
      <c r="H35" s="7">
        <v>863000</v>
      </c>
      <c r="I35" s="7">
        <v>863000</v>
      </c>
      <c r="J35" s="7">
        <f>ROUNDDOWN(PRODUCT(テーブル2567891011[[#This Row],[市交付確定額]],2)/3,-3)</f>
        <v>575000</v>
      </c>
      <c r="K35" s="7">
        <f>IF(テーブル2567891011[[#This Row],[補助金支出]]="確定払","",テーブル2567891011[[#This Row],[市交付決定額]]-テーブル2567891011[[#This Row],[市交付確定額]])</f>
        <v>0</v>
      </c>
      <c r="L35" s="159" t="s">
        <v>895</v>
      </c>
      <c r="M35" s="3">
        <v>45162</v>
      </c>
      <c r="N35" s="160"/>
      <c r="O35" s="160"/>
      <c r="P35" s="157" t="s">
        <v>886</v>
      </c>
      <c r="Q35" s="1">
        <v>1385</v>
      </c>
    </row>
    <row r="36" spans="1:17" ht="25" customHeight="1">
      <c r="A36" s="1">
        <v>35</v>
      </c>
      <c r="B36" s="3">
        <v>44721</v>
      </c>
      <c r="C36" s="1" t="s">
        <v>830</v>
      </c>
      <c r="D36" s="1" t="s">
        <v>834</v>
      </c>
      <c r="E36" s="1" t="s">
        <v>250</v>
      </c>
      <c r="F36" s="1" t="s">
        <v>781</v>
      </c>
      <c r="G36" s="7">
        <v>1000000</v>
      </c>
      <c r="H36" s="7">
        <v>1000000</v>
      </c>
      <c r="I36" s="7">
        <v>1000000</v>
      </c>
      <c r="J36" s="7">
        <f>ROUNDDOWN(PRODUCT(テーブル2567891011[[#This Row],[市交付確定額]],2)/3,-3)</f>
        <v>666000</v>
      </c>
      <c r="K36" s="7">
        <f>IF(テーブル2567891011[[#This Row],[補助金支出]]="確定払","",テーブル2567891011[[#This Row],[市交付決定額]]-テーブル2567891011[[#This Row],[市交付確定額]])</f>
        <v>0</v>
      </c>
      <c r="L36" s="159" t="s">
        <v>895</v>
      </c>
      <c r="M36" s="3">
        <v>45162</v>
      </c>
      <c r="N36" s="160"/>
      <c r="O36" s="160"/>
      <c r="P36" s="157" t="s">
        <v>888</v>
      </c>
      <c r="Q36" s="1">
        <v>1386</v>
      </c>
    </row>
    <row r="37" spans="1:17" ht="25" customHeight="1">
      <c r="A37" s="1">
        <v>36</v>
      </c>
      <c r="B37" s="3">
        <v>44721</v>
      </c>
      <c r="C37" s="1" t="s">
        <v>830</v>
      </c>
      <c r="D37" s="1" t="s">
        <v>834</v>
      </c>
      <c r="E37" s="1" t="s">
        <v>252</v>
      </c>
      <c r="F37" s="1" t="s">
        <v>837</v>
      </c>
      <c r="G37" s="7">
        <v>1000000</v>
      </c>
      <c r="H37" s="7">
        <v>1000000</v>
      </c>
      <c r="I37" s="7">
        <v>1000000</v>
      </c>
      <c r="J37" s="7">
        <f>ROUNDDOWN(PRODUCT(テーブル2567891011[[#This Row],[市交付確定額]],2)/3,-3)</f>
        <v>666000</v>
      </c>
      <c r="K37" s="7">
        <f>IF(テーブル2567891011[[#This Row],[補助金支出]]="確定払","",テーブル2567891011[[#This Row],[市交付決定額]]-テーブル2567891011[[#This Row],[市交付確定額]])</f>
        <v>0</v>
      </c>
      <c r="L37" s="159" t="s">
        <v>895</v>
      </c>
      <c r="M37" s="3">
        <v>45162</v>
      </c>
      <c r="N37" s="160"/>
      <c r="O37" s="160"/>
      <c r="P37" s="157" t="s">
        <v>888</v>
      </c>
      <c r="Q37" s="1">
        <v>1387</v>
      </c>
    </row>
    <row r="38" spans="1:17" ht="25" customHeight="1">
      <c r="A38" s="1">
        <v>37</v>
      </c>
      <c r="B38" s="3">
        <v>44721</v>
      </c>
      <c r="C38" s="1" t="s">
        <v>830</v>
      </c>
      <c r="D38" s="1" t="s">
        <v>834</v>
      </c>
      <c r="E38" s="1" t="s">
        <v>537</v>
      </c>
      <c r="F38" s="1" t="s">
        <v>781</v>
      </c>
      <c r="G38" s="7">
        <v>1000000</v>
      </c>
      <c r="H38" s="7">
        <v>1000000</v>
      </c>
      <c r="I38" s="7">
        <v>1000000</v>
      </c>
      <c r="J38" s="7">
        <f>ROUNDDOWN(PRODUCT(テーブル2567891011[[#This Row],[市交付確定額]],2)/3,-3)</f>
        <v>666000</v>
      </c>
      <c r="K38" s="7">
        <f>IF(テーブル2567891011[[#This Row],[補助金支出]]="確定払","",テーブル2567891011[[#This Row],[市交付決定額]]-テーブル2567891011[[#This Row],[市交付確定額]])</f>
        <v>0</v>
      </c>
      <c r="L38" s="159" t="s">
        <v>895</v>
      </c>
      <c r="M38" s="3">
        <v>45162</v>
      </c>
      <c r="N38" s="160"/>
      <c r="O38" s="160"/>
      <c r="P38" s="157" t="s">
        <v>888</v>
      </c>
      <c r="Q38" s="1">
        <v>1388</v>
      </c>
    </row>
    <row r="39" spans="1:17" ht="25" customHeight="1">
      <c r="A39" s="1">
        <v>38</v>
      </c>
      <c r="B39" s="3">
        <v>44721</v>
      </c>
      <c r="C39" s="1" t="s">
        <v>830</v>
      </c>
      <c r="D39" s="1" t="s">
        <v>834</v>
      </c>
      <c r="E39" s="1" t="s">
        <v>543</v>
      </c>
      <c r="F39" s="1" t="s">
        <v>781</v>
      </c>
      <c r="G39" s="7">
        <v>1000000</v>
      </c>
      <c r="H39" s="7">
        <v>1000000</v>
      </c>
      <c r="I39" s="7">
        <v>1000000</v>
      </c>
      <c r="J39" s="7">
        <f>ROUNDDOWN(PRODUCT(テーブル2567891011[[#This Row],[市交付確定額]],2)/3,-3)</f>
        <v>666000</v>
      </c>
      <c r="K39" s="7">
        <f>IF(テーブル2567891011[[#This Row],[補助金支出]]="確定払","",テーブル2567891011[[#This Row],[市交付決定額]]-テーブル2567891011[[#This Row],[市交付確定額]])</f>
        <v>0</v>
      </c>
      <c r="L39" s="159" t="s">
        <v>895</v>
      </c>
      <c r="M39" s="3">
        <v>45162</v>
      </c>
      <c r="N39" s="160"/>
      <c r="O39" s="160"/>
      <c r="P39" s="157" t="s">
        <v>888</v>
      </c>
      <c r="Q39" s="1">
        <v>1389</v>
      </c>
    </row>
    <row r="40" spans="1:17" ht="25" customHeight="1">
      <c r="A40" s="1">
        <v>39</v>
      </c>
      <c r="B40" s="3">
        <v>44721</v>
      </c>
      <c r="C40" s="1" t="s">
        <v>830</v>
      </c>
      <c r="D40" s="1" t="s">
        <v>834</v>
      </c>
      <c r="E40" s="1" t="s">
        <v>548</v>
      </c>
      <c r="F40" s="1" t="s">
        <v>781</v>
      </c>
      <c r="G40" s="7">
        <v>1000000</v>
      </c>
      <c r="H40" s="7">
        <v>1000000</v>
      </c>
      <c r="I40" s="7">
        <v>1000000</v>
      </c>
      <c r="J40" s="7">
        <f>ROUNDDOWN(PRODUCT(テーブル2567891011[[#This Row],[市交付確定額]],2)/3,-3)</f>
        <v>666000</v>
      </c>
      <c r="K40" s="7">
        <f>IF(テーブル2567891011[[#This Row],[補助金支出]]="確定払","",テーブル2567891011[[#This Row],[市交付決定額]]-テーブル2567891011[[#This Row],[市交付確定額]])</f>
        <v>0</v>
      </c>
      <c r="L40" s="159" t="s">
        <v>895</v>
      </c>
      <c r="M40" s="3">
        <v>45162</v>
      </c>
      <c r="N40" s="160"/>
      <c r="O40" s="160"/>
      <c r="P40" s="157" t="s">
        <v>888</v>
      </c>
      <c r="Q40" s="1">
        <v>1390</v>
      </c>
    </row>
    <row r="41" spans="1:17" ht="25" customHeight="1">
      <c r="A41" s="1">
        <v>40</v>
      </c>
      <c r="B41" s="3">
        <v>44721</v>
      </c>
      <c r="C41" s="1" t="s">
        <v>830</v>
      </c>
      <c r="D41" s="1" t="s">
        <v>834</v>
      </c>
      <c r="E41" s="1" t="s">
        <v>613</v>
      </c>
      <c r="F41" s="1" t="s">
        <v>837</v>
      </c>
      <c r="G41" s="7">
        <v>1000000</v>
      </c>
      <c r="H41" s="7">
        <v>1000000</v>
      </c>
      <c r="I41" s="7">
        <v>1000000</v>
      </c>
      <c r="J41" s="7">
        <f>ROUNDDOWN(PRODUCT(テーブル2567891011[[#This Row],[市交付確定額]],2)/3,-3)</f>
        <v>666000</v>
      </c>
      <c r="K41" s="7">
        <f>IF(テーブル2567891011[[#This Row],[補助金支出]]="確定払","",テーブル2567891011[[#This Row],[市交付決定額]]-テーブル2567891011[[#This Row],[市交付確定額]])</f>
        <v>0</v>
      </c>
      <c r="L41" s="159" t="s">
        <v>895</v>
      </c>
      <c r="M41" s="3">
        <v>45162</v>
      </c>
      <c r="N41" s="160"/>
      <c r="O41" s="160"/>
      <c r="P41" s="157" t="s">
        <v>888</v>
      </c>
      <c r="Q41" s="1">
        <v>1391</v>
      </c>
    </row>
    <row r="42" spans="1:17" ht="25" customHeight="1">
      <c r="A42" s="1">
        <v>41</v>
      </c>
      <c r="B42" s="3">
        <v>44717</v>
      </c>
      <c r="C42" s="1" t="s">
        <v>906</v>
      </c>
      <c r="D42" s="1" t="s">
        <v>844</v>
      </c>
      <c r="E42" s="1" t="s">
        <v>846</v>
      </c>
      <c r="F42" s="1" t="s">
        <v>688</v>
      </c>
      <c r="G42" s="7">
        <v>1000000</v>
      </c>
      <c r="H42" s="7">
        <v>1000000</v>
      </c>
      <c r="I42" s="7">
        <v>865000</v>
      </c>
      <c r="J42" s="7">
        <f>ROUNDDOWN(PRODUCT(テーブル2567891011[[#This Row],[市交付確定額]],2)/3,-3)</f>
        <v>576000</v>
      </c>
      <c r="K42" s="7">
        <f>IF(テーブル2567891011[[#This Row],[補助金支出]]="確定払","",テーブル2567891011[[#This Row],[市交付決定額]]-テーブル2567891011[[#This Row],[市交付確定額]])</f>
        <v>135000</v>
      </c>
      <c r="L42" s="159" t="s">
        <v>895</v>
      </c>
      <c r="M42" s="3">
        <v>45162</v>
      </c>
      <c r="N42" s="160"/>
      <c r="O42" s="160" t="s">
        <v>902</v>
      </c>
      <c r="P42" s="157" t="s">
        <v>878</v>
      </c>
      <c r="Q42" s="1">
        <v>1392</v>
      </c>
    </row>
    <row r="43" spans="1:17" ht="25" customHeight="1">
      <c r="A43" s="1">
        <v>42</v>
      </c>
      <c r="B43" s="3">
        <v>44712</v>
      </c>
      <c r="C43" s="1" t="s">
        <v>187</v>
      </c>
      <c r="E43" s="1" t="s">
        <v>188</v>
      </c>
      <c r="F43" s="1" t="s">
        <v>899</v>
      </c>
      <c r="G43" s="7">
        <v>281400</v>
      </c>
      <c r="H43" s="7">
        <v>281000</v>
      </c>
      <c r="I43" s="7">
        <v>281000</v>
      </c>
      <c r="J43" s="7">
        <f>ROUNDDOWN(PRODUCT(テーブル2567891011[[#This Row],[市交付確定額]],2)/3,-3)</f>
        <v>187000</v>
      </c>
      <c r="K43" s="7" t="str">
        <f>IF(テーブル2567891011[[#This Row],[補助金支出]]="確定払","",テーブル2567891011[[#This Row],[市交付決定額]]-テーブル2567891011[[#This Row],[市交付確定額]])</f>
        <v/>
      </c>
      <c r="L43" s="159" t="s">
        <v>894</v>
      </c>
      <c r="M43" s="3">
        <v>45248</v>
      </c>
      <c r="N43" s="160"/>
      <c r="O43" s="160"/>
      <c r="P43" s="157">
        <v>44867</v>
      </c>
    </row>
    <row r="44" spans="1:17" ht="25" customHeight="1">
      <c r="A44" s="1">
        <v>43</v>
      </c>
      <c r="B44" s="3">
        <v>44725</v>
      </c>
      <c r="C44" s="1" t="s">
        <v>113</v>
      </c>
      <c r="E44" s="1" t="s">
        <v>348</v>
      </c>
      <c r="F44" s="1" t="s">
        <v>899</v>
      </c>
      <c r="G44" s="7">
        <v>670450</v>
      </c>
      <c r="H44" s="7">
        <v>670000</v>
      </c>
      <c r="I44" s="7">
        <v>670000</v>
      </c>
      <c r="J44" s="7">
        <f>ROUNDDOWN(PRODUCT(テーブル2567891011[[#This Row],[市交付確定額]],2)/3,-3)</f>
        <v>446000</v>
      </c>
      <c r="K44" s="7" t="str">
        <f>IF(テーブル2567891011[[#This Row],[補助金支出]]="確定払","",テーブル2567891011[[#This Row],[市交付決定額]]-テーブル2567891011[[#This Row],[市交付確定額]])</f>
        <v/>
      </c>
      <c r="L44" s="159" t="s">
        <v>894</v>
      </c>
      <c r="M44" s="3">
        <v>45248</v>
      </c>
      <c r="N44" s="160"/>
      <c r="O44" s="160"/>
      <c r="P44" s="157">
        <v>44862</v>
      </c>
    </row>
    <row r="45" spans="1:17" ht="25" customHeight="1">
      <c r="A45" s="1">
        <v>44</v>
      </c>
      <c r="B45" s="3">
        <v>44725</v>
      </c>
      <c r="C45" s="1" t="s">
        <v>113</v>
      </c>
      <c r="E45" s="1" t="s">
        <v>117</v>
      </c>
      <c r="F45" s="1" t="s">
        <v>901</v>
      </c>
      <c r="G45" s="7">
        <v>776820</v>
      </c>
      <c r="H45" s="7">
        <v>776000</v>
      </c>
      <c r="I45" s="7">
        <v>755000</v>
      </c>
      <c r="J45" s="7">
        <f>ROUNDDOWN(PRODUCT(テーブル2567891011[[#This Row],[市交付確定額]],2)/3,-3)</f>
        <v>503000</v>
      </c>
      <c r="K45" s="7" t="str">
        <f>IF(テーブル2567891011[[#This Row],[補助金支出]]="確定払","",テーブル2567891011[[#This Row],[市交付決定額]]-テーブル2567891011[[#This Row],[市交付確定額]])</f>
        <v/>
      </c>
      <c r="L45" s="159" t="s">
        <v>894</v>
      </c>
      <c r="M45" s="3">
        <v>45248</v>
      </c>
      <c r="N45" s="160"/>
      <c r="O45" s="160"/>
      <c r="P45" s="157">
        <v>44862</v>
      </c>
    </row>
    <row r="46" spans="1:17" ht="25" customHeight="1">
      <c r="A46" s="1">
        <v>45</v>
      </c>
      <c r="B46" s="3">
        <v>44725</v>
      </c>
      <c r="C46" s="1" t="s">
        <v>113</v>
      </c>
      <c r="E46" s="1" t="s">
        <v>184</v>
      </c>
      <c r="F46" s="1" t="s">
        <v>900</v>
      </c>
      <c r="G46" s="7">
        <v>1000000</v>
      </c>
      <c r="H46" s="7">
        <v>1000000</v>
      </c>
      <c r="I46" s="7">
        <v>1000000</v>
      </c>
      <c r="J46" s="7">
        <f>ROUNDDOWN(PRODUCT(テーブル2567891011[[#This Row],[市交付確定額]],2)/3,-3)</f>
        <v>666000</v>
      </c>
      <c r="K46" s="7" t="str">
        <f>IF(テーブル2567891011[[#This Row],[補助金支出]]="確定払","",テーブル2567891011[[#This Row],[市交付決定額]]-テーブル2567891011[[#This Row],[市交付確定額]])</f>
        <v/>
      </c>
      <c r="L46" s="159" t="s">
        <v>894</v>
      </c>
      <c r="M46" s="3">
        <v>45248</v>
      </c>
      <c r="N46" s="160"/>
      <c r="O46" s="160"/>
      <c r="P46" s="157">
        <v>44862</v>
      </c>
    </row>
    <row r="47" spans="1:17" ht="25" customHeight="1">
      <c r="A47" s="1">
        <v>46</v>
      </c>
      <c r="B47" s="3">
        <v>44725</v>
      </c>
      <c r="C47" s="1" t="s">
        <v>181</v>
      </c>
      <c r="E47" s="1" t="s">
        <v>182</v>
      </c>
      <c r="F47" s="1" t="s">
        <v>900</v>
      </c>
      <c r="G47" s="7">
        <v>747130</v>
      </c>
      <c r="H47" s="7">
        <v>747000</v>
      </c>
      <c r="I47" s="7">
        <v>747000</v>
      </c>
      <c r="J47" s="7">
        <f>ROUNDDOWN(PRODUCT(テーブル2567891011[[#This Row],[市交付確定額]],2)/3,-3)</f>
        <v>498000</v>
      </c>
      <c r="K47" s="7" t="str">
        <f>IF(テーブル2567891011[[#This Row],[補助金支出]]="確定払","",テーブル2567891011[[#This Row],[市交付決定額]]-テーブル2567891011[[#This Row],[市交付確定額]])</f>
        <v/>
      </c>
      <c r="L47" s="159" t="s">
        <v>894</v>
      </c>
      <c r="M47" s="3">
        <v>45248</v>
      </c>
      <c r="N47" s="160"/>
      <c r="O47" s="160"/>
      <c r="P47" s="157">
        <v>44860</v>
      </c>
    </row>
    <row r="48" spans="1:17" s="7" customFormat="1" ht="30" customHeight="1">
      <c r="H48" s="7">
        <f>SUBTOTAL(109,テーブル2567891011[市交付決定額])</f>
        <v>32379000</v>
      </c>
      <c r="I48" s="7">
        <f>SUBTOTAL(109,テーブル2567891011[市交付確定額])</f>
        <v>32153000</v>
      </c>
      <c r="J48" s="7">
        <f>SUBTOTAL(109,テーブル2567891011[国庫補助額])</f>
        <v>21414000</v>
      </c>
      <c r="K48" s="7">
        <f>SUBTOTAL(109,テーブル2567891011[補助金返還額])</f>
        <v>205000</v>
      </c>
      <c r="N48" s="161"/>
      <c r="O48" s="161"/>
    </row>
  </sheetData>
  <phoneticPr fontId="1"/>
  <pageMargins left="0.70866141732283472" right="0.70866141732283472" top="0.74803149606299213" bottom="0.55118110236220474" header="0.31496062992125984" footer="0.31496062992125984"/>
  <pageSetup paperSize="8" scale="67" fitToHeight="0" orientation="landscape" r:id="rId1"/>
  <headerFooter>
    <oddHeader>&amp;C&amp;"BIZ UDPゴシック,標準"&amp;16令和4年度障害福祉分野のICT導入モデル事業　対象事業所一覧</oddHead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2">
    <tabColor rgb="FFFFC000"/>
  </sheetPr>
  <dimension ref="A1:AV126"/>
  <sheetViews>
    <sheetView showGridLines="0" view="pageBreakPreview" zoomScaleNormal="100" zoomScaleSheetLayoutView="100" workbookViewId="0">
      <selection activeCell="V7" sqref="V7:AQ7"/>
    </sheetView>
  </sheetViews>
  <sheetFormatPr defaultColWidth="9" defaultRowHeight="22.5" customHeight="1"/>
  <cols>
    <col min="1" max="43" width="1.90625" style="13" customWidth="1"/>
    <col min="44" max="44" width="3.36328125" style="15" customWidth="1"/>
    <col min="45" max="47" width="1.90625" style="13" customWidth="1"/>
    <col min="48" max="48" width="6.26953125" style="13" customWidth="1"/>
    <col min="49" max="49" width="25" style="13" customWidth="1"/>
    <col min="50" max="16384" width="9" style="13"/>
  </cols>
  <sheetData>
    <row r="1" spans="1:48" ht="16.5" customHeight="1">
      <c r="A1" s="197"/>
      <c r="B1" s="197"/>
      <c r="AI1" s="200" t="str">
        <f>'1'!$AI$1</f>
        <v>R4健障障第100号</v>
      </c>
      <c r="AJ1" s="200"/>
      <c r="AK1" s="200"/>
      <c r="AL1" s="200"/>
      <c r="AM1" s="200"/>
      <c r="AN1" s="200"/>
      <c r="AO1" s="200"/>
      <c r="AP1" s="200"/>
      <c r="AQ1" s="200"/>
      <c r="AR1" s="15">
        <v>1</v>
      </c>
    </row>
    <row r="2" spans="1:48" ht="16.5" customHeight="1">
      <c r="A2" s="197"/>
      <c r="B2" s="197"/>
      <c r="AI2" s="201">
        <f>'1'!$AI$2</f>
        <v>44677</v>
      </c>
      <c r="AJ2" s="201"/>
      <c r="AK2" s="201"/>
      <c r="AL2" s="201"/>
      <c r="AM2" s="201"/>
      <c r="AN2" s="201"/>
      <c r="AO2" s="201"/>
      <c r="AP2" s="201"/>
      <c r="AQ2" s="201"/>
      <c r="AR2" s="15">
        <f>AR1+1</f>
        <v>2</v>
      </c>
    </row>
    <row r="3" spans="1:48" ht="18.7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5">
        <f t="shared" ref="AR3:AR34" si="0">AR2+1</f>
        <v>3</v>
      </c>
    </row>
    <row r="4" spans="1:48" ht="18.75" customHeight="1">
      <c r="A4" s="199" t="str">
        <f>INDEX(送付先一覧!A:O,MATCH(AV4,送付先一覧!A:A,0),4)</f>
        <v>特定非営利活動法人ぴあいんく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5">
        <f t="shared" si="0"/>
        <v>4</v>
      </c>
      <c r="AV4" s="65">
        <v>37</v>
      </c>
    </row>
    <row r="5" spans="1:48" ht="18.75" customHeight="1">
      <c r="A5" s="202" t="str">
        <f>INDEX(送付先一覧!A:O,MATCH(AV4,送付先一覧!A:A,0),5)</f>
        <v>理事長　安澤　佐知子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15">
        <f t="shared" si="0"/>
        <v>5</v>
      </c>
    </row>
    <row r="6" spans="1:48" ht="18.75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5">
        <f t="shared" si="0"/>
        <v>6</v>
      </c>
    </row>
    <row r="7" spans="1:48" ht="18.75" customHeight="1">
      <c r="V7" s="199" t="str">
        <f>'1'!$V$7</f>
        <v>仙台市健康福祉局障害福祉部障害企画課長　　</v>
      </c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5">
        <f t="shared" si="0"/>
        <v>7</v>
      </c>
    </row>
    <row r="8" spans="1:48" ht="18.75" customHeight="1">
      <c r="V8" s="199" t="str">
        <f>'1'!$V$8</f>
        <v>仙台市健康福祉局障害福祉部障害者支援課長　</v>
      </c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5">
        <f t="shared" si="0"/>
        <v>8</v>
      </c>
    </row>
    <row r="9" spans="1:48" ht="18.7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5">
        <f t="shared" si="0"/>
        <v>9</v>
      </c>
    </row>
    <row r="10" spans="1:48" ht="22.5" customHeight="1">
      <c r="A10" s="203" t="str">
        <f>'1'!$A$10</f>
        <v>令和４年度仙台市障害福祉分野のICT導入モデル事業補助金の内示について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15">
        <f t="shared" si="0"/>
        <v>10</v>
      </c>
    </row>
    <row r="11" spans="1:48" ht="18.7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5">
        <f t="shared" si="0"/>
        <v>11</v>
      </c>
    </row>
    <row r="12" spans="1:48" ht="93.75" customHeight="1">
      <c r="A12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15">
        <f t="shared" si="0"/>
        <v>12</v>
      </c>
    </row>
    <row r="13" spans="1:48" ht="18.7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5">
        <f t="shared" si="0"/>
        <v>13</v>
      </c>
    </row>
    <row r="14" spans="1:48" ht="18.75" customHeight="1">
      <c r="A14" s="197" t="str">
        <f>'1'!$A$14</f>
        <v>記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5">
        <f t="shared" si="0"/>
        <v>14</v>
      </c>
    </row>
    <row r="15" spans="1:48" ht="18.7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5">
        <f t="shared" si="0"/>
        <v>15</v>
      </c>
    </row>
    <row r="16" spans="1:48" ht="18.75" customHeight="1">
      <c r="I16" s="199" t="str">
        <f>'1'!$I$16</f>
        <v>補助内示額</v>
      </c>
      <c r="J16" s="199"/>
      <c r="K16" s="199"/>
      <c r="L16" s="199"/>
      <c r="M16" s="199"/>
      <c r="N16" s="199"/>
      <c r="S16" s="206">
        <f>INDEX(送付先一覧!A:O,MATCH(AV4,送付先一覧!A:A,0),12)</f>
        <v>666000</v>
      </c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199"/>
      <c r="AG16" s="199"/>
      <c r="AH16" s="199"/>
      <c r="AI16" s="199"/>
      <c r="AR16" s="15">
        <f t="shared" si="0"/>
        <v>16</v>
      </c>
    </row>
    <row r="17" spans="1:44" ht="18.75" customHeight="1">
      <c r="I17" s="199" t="str">
        <f>'1'!$I$17</f>
        <v>事業種別</v>
      </c>
      <c r="J17" s="199"/>
      <c r="K17" s="199"/>
      <c r="L17" s="199"/>
      <c r="M17" s="199"/>
      <c r="N17" s="199"/>
      <c r="O17" s="199"/>
      <c r="P17" s="199"/>
      <c r="Q17" s="199"/>
      <c r="R17" s="199"/>
      <c r="S17" s="199" t="str">
        <f>INDEX(送付先一覧!A:O,MATCH(AV4,送付先一覧!A:A,0),9)</f>
        <v>生活介護</v>
      </c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R17" s="15">
        <f t="shared" si="0"/>
        <v>17</v>
      </c>
    </row>
    <row r="18" spans="1:44" ht="18.75" customHeight="1">
      <c r="I18" s="199" t="str">
        <f>'1'!$I$18</f>
        <v>事業所名</v>
      </c>
      <c r="J18" s="199"/>
      <c r="K18" s="199"/>
      <c r="L18" s="199"/>
      <c r="M18" s="199"/>
      <c r="N18" s="199"/>
      <c r="O18" s="199"/>
      <c r="P18" s="199"/>
      <c r="Q18" s="199"/>
      <c r="R18" s="199"/>
      <c r="S18" s="204" t="str">
        <f>INDEX(送付先一覧!A:O,MATCH(AV4,送付先一覧!A:A,0),8)</f>
        <v>ぴあにか</v>
      </c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15">
        <f t="shared" si="0"/>
        <v>18</v>
      </c>
    </row>
    <row r="19" spans="1:44" ht="18.75" customHeight="1"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15">
        <f t="shared" si="0"/>
        <v>19</v>
      </c>
    </row>
    <row r="20" spans="1:44" ht="18.75" customHeight="1"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R20" s="15">
        <f t="shared" si="0"/>
        <v>20</v>
      </c>
    </row>
    <row r="21" spans="1:44" ht="18.7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5">
        <f t="shared" si="0"/>
        <v>21</v>
      </c>
    </row>
    <row r="22" spans="1:44" ht="18.75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5">
        <f t="shared" si="0"/>
        <v>22</v>
      </c>
    </row>
    <row r="23" spans="1:44" ht="18.75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5">
        <f t="shared" si="0"/>
        <v>23</v>
      </c>
    </row>
    <row r="24" spans="1:44" ht="18.75" customHeight="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5">
        <f t="shared" si="0"/>
        <v>24</v>
      </c>
    </row>
    <row r="25" spans="1:44" ht="18.7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5">
        <f t="shared" si="0"/>
        <v>25</v>
      </c>
    </row>
    <row r="26" spans="1:44" ht="18.7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5">
        <f t="shared" si="0"/>
        <v>26</v>
      </c>
    </row>
    <row r="27" spans="1:44" ht="18.75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5">
        <f t="shared" si="0"/>
        <v>27</v>
      </c>
    </row>
    <row r="28" spans="1:44" ht="18.7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5">
        <f t="shared" si="0"/>
        <v>28</v>
      </c>
    </row>
    <row r="29" spans="1:44" ht="18.75" customHeight="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5">
        <f t="shared" si="0"/>
        <v>29</v>
      </c>
    </row>
    <row r="30" spans="1:44" ht="18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5">
        <f t="shared" si="0"/>
        <v>30</v>
      </c>
    </row>
    <row r="31" spans="1:44" ht="18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5">
        <f t="shared" si="0"/>
        <v>31</v>
      </c>
    </row>
    <row r="32" spans="1:44" ht="18.75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5">
        <f t="shared" si="0"/>
        <v>32</v>
      </c>
    </row>
    <row r="33" spans="1:44" ht="18.7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5">
        <f t="shared" si="0"/>
        <v>33</v>
      </c>
    </row>
    <row r="34" spans="1:44" ht="18.7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5">
        <f t="shared" si="0"/>
        <v>34</v>
      </c>
    </row>
    <row r="35" spans="1:44" ht="18.75" customHeight="1">
      <c r="A35" s="15"/>
      <c r="B35" s="15"/>
    </row>
    <row r="36" spans="1:44" ht="16.5" customHeight="1"/>
    <row r="37" spans="1:44" ht="16.5" customHeight="1"/>
    <row r="38" spans="1:44" ht="16.5" customHeight="1"/>
    <row r="39" spans="1:44" ht="16.5" customHeight="1"/>
    <row r="40" spans="1:44" ht="16.5" customHeight="1"/>
    <row r="41" spans="1:44" ht="16.5" customHeight="1"/>
    <row r="42" spans="1:44" ht="16.5" customHeight="1"/>
    <row r="43" spans="1:44" ht="16.5" customHeight="1"/>
    <row r="44" spans="1:44" ht="16.5" customHeight="1"/>
    <row r="45" spans="1:44" ht="16.5" customHeight="1"/>
    <row r="46" spans="1:44" ht="16.5" customHeight="1"/>
    <row r="47" spans="1:44" ht="16.5" customHeight="1"/>
    <row r="48" spans="1:44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</sheetData>
  <sheetProtection formatCells="0" selectLockedCells="1"/>
  <mergeCells count="43">
    <mergeCell ref="A30:AQ30"/>
    <mergeCell ref="A31:AQ31"/>
    <mergeCell ref="A32:AQ32"/>
    <mergeCell ref="A33:AQ33"/>
    <mergeCell ref="A34:AQ34"/>
    <mergeCell ref="A29:AQ29"/>
    <mergeCell ref="I19:R19"/>
    <mergeCell ref="I20:R20"/>
    <mergeCell ref="S20:AI20"/>
    <mergeCell ref="A21:AQ21"/>
    <mergeCell ref="A22:AQ22"/>
    <mergeCell ref="A23:AQ23"/>
    <mergeCell ref="A24:AQ24"/>
    <mergeCell ref="A25:AQ25"/>
    <mergeCell ref="A26:AQ26"/>
    <mergeCell ref="A27:AQ27"/>
    <mergeCell ref="A28:AQ28"/>
    <mergeCell ref="I17:N17"/>
    <mergeCell ref="O17:R17"/>
    <mergeCell ref="S17:AP17"/>
    <mergeCell ref="I18:N18"/>
    <mergeCell ref="O18:R18"/>
    <mergeCell ref="S18:AQ18"/>
    <mergeCell ref="I16:N16"/>
    <mergeCell ref="S16:AE16"/>
    <mergeCell ref="AF16:AI16"/>
    <mergeCell ref="A5:AQ5"/>
    <mergeCell ref="A6:AQ6"/>
    <mergeCell ref="V7:AQ7"/>
    <mergeCell ref="V8:AQ8"/>
    <mergeCell ref="A9:AQ9"/>
    <mergeCell ref="A10:AQ10"/>
    <mergeCell ref="A11:AQ11"/>
    <mergeCell ref="A12:AQ12"/>
    <mergeCell ref="A13:AQ13"/>
    <mergeCell ref="A14:AQ14"/>
    <mergeCell ref="A15:AQ15"/>
    <mergeCell ref="A4:AQ4"/>
    <mergeCell ref="A1:B1"/>
    <mergeCell ref="AI1:AQ1"/>
    <mergeCell ref="A2:B2"/>
    <mergeCell ref="AI2:AQ2"/>
    <mergeCell ref="A3:AQ3"/>
  </mergeCells>
  <phoneticPr fontId="1"/>
  <pageMargins left="0.98425196850393704" right="0.98425196850393704" top="1.3779527559055118" bottom="1.1811023622047245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3">
    <tabColor rgb="FFFFC000"/>
  </sheetPr>
  <dimension ref="A1:AV178"/>
  <sheetViews>
    <sheetView showGridLines="0" view="pageBreakPreview" zoomScaleNormal="100" zoomScaleSheetLayoutView="100" workbookViewId="0">
      <selection activeCell="V7" sqref="V7:AQ7"/>
    </sheetView>
  </sheetViews>
  <sheetFormatPr defaultColWidth="9" defaultRowHeight="22.5" customHeight="1"/>
  <cols>
    <col min="1" max="43" width="1.90625" style="13" customWidth="1"/>
    <col min="44" max="44" width="3.36328125" style="15" customWidth="1"/>
    <col min="45" max="47" width="1.90625" style="13" customWidth="1"/>
    <col min="48" max="48" width="6.26953125" style="13" customWidth="1"/>
    <col min="49" max="49" width="25" style="13" customWidth="1"/>
    <col min="50" max="16384" width="9" style="13"/>
  </cols>
  <sheetData>
    <row r="1" spans="1:48" ht="16.5" customHeight="1">
      <c r="A1" s="197"/>
      <c r="B1" s="197"/>
      <c r="AI1" s="200" t="str">
        <f>'1'!$AI$1</f>
        <v>R4健障障第100号</v>
      </c>
      <c r="AJ1" s="200"/>
      <c r="AK1" s="200"/>
      <c r="AL1" s="200"/>
      <c r="AM1" s="200"/>
      <c r="AN1" s="200"/>
      <c r="AO1" s="200"/>
      <c r="AP1" s="200"/>
      <c r="AQ1" s="200"/>
      <c r="AR1" s="15">
        <v>1</v>
      </c>
    </row>
    <row r="2" spans="1:48" ht="16.5" customHeight="1">
      <c r="A2" s="197"/>
      <c r="B2" s="197"/>
      <c r="AI2" s="201">
        <f>'1'!$AI$2</f>
        <v>44677</v>
      </c>
      <c r="AJ2" s="201"/>
      <c r="AK2" s="201"/>
      <c r="AL2" s="201"/>
      <c r="AM2" s="201"/>
      <c r="AN2" s="201"/>
      <c r="AO2" s="201"/>
      <c r="AP2" s="201"/>
      <c r="AQ2" s="201"/>
      <c r="AR2" s="15">
        <f>AR1+1</f>
        <v>2</v>
      </c>
    </row>
    <row r="3" spans="1:48" ht="18.7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5">
        <f t="shared" ref="AR3:AR34" si="0">AR2+1</f>
        <v>3</v>
      </c>
    </row>
    <row r="4" spans="1:48" ht="18.75" customHeight="1">
      <c r="A4" s="199" t="str">
        <f>INDEX(送付先一覧!A:O,MATCH(AV4,送付先一覧!A:A,0),4)</f>
        <v>特定非営利活動法人ほっぷの森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5">
        <f t="shared" si="0"/>
        <v>4</v>
      </c>
      <c r="AV4" s="65">
        <v>38</v>
      </c>
    </row>
    <row r="5" spans="1:48" ht="18.75" customHeight="1">
      <c r="A5" s="202" t="str">
        <f>INDEX(送付先一覧!A:O,MATCH(AV4,送付先一覧!A:A,0),5)</f>
        <v>理事長　白木　福次郎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15">
        <f t="shared" si="0"/>
        <v>5</v>
      </c>
    </row>
    <row r="6" spans="1:48" ht="18.75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5">
        <f t="shared" si="0"/>
        <v>6</v>
      </c>
    </row>
    <row r="7" spans="1:48" ht="18.75" customHeight="1">
      <c r="V7" s="199" t="str">
        <f>'1'!$V$7</f>
        <v>仙台市健康福祉局障害福祉部障害企画課長　　</v>
      </c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5">
        <f t="shared" si="0"/>
        <v>7</v>
      </c>
    </row>
    <row r="8" spans="1:48" ht="18.75" customHeight="1">
      <c r="V8" s="199" t="str">
        <f>'1'!$V$8</f>
        <v>仙台市健康福祉局障害福祉部障害者支援課長　</v>
      </c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5">
        <f t="shared" si="0"/>
        <v>8</v>
      </c>
    </row>
    <row r="9" spans="1:48" ht="18.7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5">
        <f t="shared" si="0"/>
        <v>9</v>
      </c>
    </row>
    <row r="10" spans="1:48" ht="22.5" customHeight="1">
      <c r="A10" s="203" t="str">
        <f>'1'!$A$10</f>
        <v>令和４年度仙台市障害福祉分野のICT導入モデル事業補助金の内示について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15">
        <f t="shared" si="0"/>
        <v>10</v>
      </c>
    </row>
    <row r="11" spans="1:48" ht="18.7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5">
        <f t="shared" si="0"/>
        <v>11</v>
      </c>
    </row>
    <row r="12" spans="1:48" ht="93.75" customHeight="1">
      <c r="A12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15">
        <f t="shared" si="0"/>
        <v>12</v>
      </c>
    </row>
    <row r="13" spans="1:48" ht="18.7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5">
        <f t="shared" si="0"/>
        <v>13</v>
      </c>
    </row>
    <row r="14" spans="1:48" ht="18.75" customHeight="1">
      <c r="A14" s="197" t="str">
        <f>'1'!$A$14</f>
        <v>記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5">
        <f t="shared" si="0"/>
        <v>14</v>
      </c>
    </row>
    <row r="15" spans="1:48" ht="18.7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5">
        <f t="shared" si="0"/>
        <v>15</v>
      </c>
    </row>
    <row r="16" spans="1:48" ht="18.75" customHeight="1">
      <c r="I16" s="199" t="str">
        <f>'1'!$I$16</f>
        <v>補助内示額</v>
      </c>
      <c r="J16" s="199"/>
      <c r="K16" s="199"/>
      <c r="L16" s="199"/>
      <c r="M16" s="199"/>
      <c r="N16" s="199"/>
      <c r="S16" s="206">
        <f>INDEX(送付先一覧!A:O,MATCH(AV4,送付先一覧!A:A,0),12)</f>
        <v>517000</v>
      </c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199"/>
      <c r="AG16" s="199"/>
      <c r="AH16" s="199"/>
      <c r="AI16" s="199"/>
      <c r="AR16" s="15">
        <f t="shared" si="0"/>
        <v>16</v>
      </c>
    </row>
    <row r="17" spans="1:44" ht="18.75" customHeight="1">
      <c r="I17" s="199" t="str">
        <f>'1'!$I$17</f>
        <v>事業種別</v>
      </c>
      <c r="J17" s="199"/>
      <c r="K17" s="199"/>
      <c r="L17" s="199"/>
      <c r="M17" s="199"/>
      <c r="N17" s="199"/>
      <c r="O17" s="199"/>
      <c r="P17" s="199"/>
      <c r="Q17" s="199"/>
      <c r="R17" s="199"/>
      <c r="S17" s="199" t="str">
        <f>INDEX(送付先一覧!A:O,MATCH(AV4,送付先一覧!A:A,0),9)</f>
        <v>就労継続支援A型</v>
      </c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R17" s="15">
        <f t="shared" si="0"/>
        <v>17</v>
      </c>
    </row>
    <row r="18" spans="1:44" ht="18.75" customHeight="1">
      <c r="I18" s="199" t="str">
        <f>'1'!$I$18</f>
        <v>事業所名</v>
      </c>
      <c r="J18" s="199"/>
      <c r="K18" s="199"/>
      <c r="L18" s="199"/>
      <c r="M18" s="199"/>
      <c r="N18" s="199"/>
      <c r="O18" s="199"/>
      <c r="P18" s="199"/>
      <c r="Q18" s="199"/>
      <c r="R18" s="199"/>
      <c r="S18" s="204" t="str">
        <f>INDEX(送付先一覧!A:O,MATCH(AV4,送付先一覧!A:A,0),8)</f>
        <v>TFU Cafeteria Olive</v>
      </c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15">
        <f t="shared" si="0"/>
        <v>18</v>
      </c>
    </row>
    <row r="19" spans="1:44" ht="18.75" customHeight="1"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15">
        <f t="shared" si="0"/>
        <v>19</v>
      </c>
    </row>
    <row r="20" spans="1:44" ht="18.75" customHeight="1"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R20" s="15">
        <f t="shared" si="0"/>
        <v>20</v>
      </c>
    </row>
    <row r="21" spans="1:44" ht="18.7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5">
        <f t="shared" si="0"/>
        <v>21</v>
      </c>
    </row>
    <row r="22" spans="1:44" ht="18.75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5">
        <f t="shared" si="0"/>
        <v>22</v>
      </c>
    </row>
    <row r="23" spans="1:44" ht="18.75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5">
        <f t="shared" si="0"/>
        <v>23</v>
      </c>
    </row>
    <row r="24" spans="1:44" ht="18.75" customHeight="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5">
        <f t="shared" si="0"/>
        <v>24</v>
      </c>
    </row>
    <row r="25" spans="1:44" ht="18.7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5">
        <f t="shared" si="0"/>
        <v>25</v>
      </c>
    </row>
    <row r="26" spans="1:44" ht="18.7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5">
        <f t="shared" si="0"/>
        <v>26</v>
      </c>
    </row>
    <row r="27" spans="1:44" ht="18.75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5">
        <f t="shared" si="0"/>
        <v>27</v>
      </c>
    </row>
    <row r="28" spans="1:44" ht="18.7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5">
        <f t="shared" si="0"/>
        <v>28</v>
      </c>
    </row>
    <row r="29" spans="1:44" ht="18.75" customHeight="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5">
        <f t="shared" si="0"/>
        <v>29</v>
      </c>
    </row>
    <row r="30" spans="1:44" ht="18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5">
        <f t="shared" si="0"/>
        <v>30</v>
      </c>
    </row>
    <row r="31" spans="1:44" ht="18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5">
        <f t="shared" si="0"/>
        <v>31</v>
      </c>
    </row>
    <row r="32" spans="1:44" ht="18.75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5">
        <f t="shared" si="0"/>
        <v>32</v>
      </c>
    </row>
    <row r="33" spans="1:48" ht="18.7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5">
        <f t="shared" si="0"/>
        <v>33</v>
      </c>
    </row>
    <row r="34" spans="1:48" ht="18.7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5">
        <f t="shared" si="0"/>
        <v>34</v>
      </c>
    </row>
    <row r="35" spans="1:48" ht="16.5" customHeight="1">
      <c r="A35" s="197"/>
      <c r="B35" s="197"/>
      <c r="AI35" s="200" t="str">
        <f>'1'!$AI$1</f>
        <v>R4健障障第100号</v>
      </c>
      <c r="AJ35" s="200"/>
      <c r="AK35" s="200"/>
      <c r="AL35" s="200"/>
      <c r="AM35" s="200"/>
      <c r="AN35" s="200"/>
      <c r="AO35" s="200"/>
      <c r="AP35" s="200"/>
      <c r="AQ35" s="200"/>
      <c r="AR35" s="15">
        <v>1</v>
      </c>
    </row>
    <row r="36" spans="1:48" ht="16.5" customHeight="1">
      <c r="A36" s="197"/>
      <c r="B36" s="197"/>
      <c r="AI36" s="201">
        <f>'1'!$AI$2</f>
        <v>44677</v>
      </c>
      <c r="AJ36" s="201"/>
      <c r="AK36" s="201"/>
      <c r="AL36" s="201"/>
      <c r="AM36" s="201"/>
      <c r="AN36" s="201"/>
      <c r="AO36" s="201"/>
      <c r="AP36" s="201"/>
      <c r="AQ36" s="201"/>
      <c r="AR36" s="15">
        <f>AR35+1</f>
        <v>2</v>
      </c>
    </row>
    <row r="37" spans="1:48" ht="18.75" customHeight="1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5">
        <f t="shared" ref="AR37:AR68" si="1">AR36+1</f>
        <v>3</v>
      </c>
    </row>
    <row r="38" spans="1:48" ht="18.75" customHeight="1">
      <c r="A38" s="199" t="str">
        <f>INDEX(送付先一覧!A:O,MATCH(AV38,送付先一覧!A:A,0),4)</f>
        <v>特定非営利活動法人ほっぷの森</v>
      </c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5">
        <f t="shared" si="1"/>
        <v>4</v>
      </c>
      <c r="AV38" s="65">
        <f>AV4+1</f>
        <v>39</v>
      </c>
    </row>
    <row r="39" spans="1:48" ht="18.75" customHeight="1">
      <c r="A39" s="202" t="str">
        <f>INDEX(送付先一覧!A:O,MATCH(AV38,送付先一覧!A:A,0),5)</f>
        <v>理事長　白木　福次郎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15">
        <f t="shared" si="1"/>
        <v>5</v>
      </c>
    </row>
    <row r="40" spans="1:48" ht="18.75" customHeight="1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5">
        <f t="shared" si="1"/>
        <v>6</v>
      </c>
    </row>
    <row r="41" spans="1:48" ht="18.75" customHeight="1">
      <c r="V41" s="199" t="str">
        <f>'1'!$V$7</f>
        <v>仙台市健康福祉局障害福祉部障害企画課長　　</v>
      </c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5">
        <f t="shared" si="1"/>
        <v>7</v>
      </c>
    </row>
    <row r="42" spans="1:48" ht="18.75" customHeight="1">
      <c r="V42" s="199" t="str">
        <f>'1'!$V$8</f>
        <v>仙台市健康福祉局障害福祉部障害者支援課長　</v>
      </c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5">
        <f t="shared" si="1"/>
        <v>8</v>
      </c>
    </row>
    <row r="43" spans="1:48" ht="18.75" customHeight="1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5">
        <f t="shared" si="1"/>
        <v>9</v>
      </c>
    </row>
    <row r="44" spans="1:48" ht="22.5" customHeight="1">
      <c r="A44" s="203" t="str">
        <f>'1'!$A$10</f>
        <v>令和４年度仙台市障害福祉分野のICT導入モデル事業補助金の内示について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15">
        <f t="shared" si="1"/>
        <v>10</v>
      </c>
    </row>
    <row r="45" spans="1:48" ht="18.75" customHeight="1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5">
        <f t="shared" si="1"/>
        <v>11</v>
      </c>
    </row>
    <row r="46" spans="1:48" ht="93.75" customHeight="1">
      <c r="A46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15">
        <f t="shared" si="1"/>
        <v>12</v>
      </c>
    </row>
    <row r="47" spans="1:48" ht="18.75" customHeight="1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5">
        <f t="shared" si="1"/>
        <v>13</v>
      </c>
    </row>
    <row r="48" spans="1:48" ht="18.75" customHeight="1">
      <c r="A48" s="197" t="str">
        <f>'1'!$A$14</f>
        <v>記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5">
        <f t="shared" si="1"/>
        <v>14</v>
      </c>
    </row>
    <row r="49" spans="1:44" ht="18.75" customHeight="1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5">
        <f t="shared" si="1"/>
        <v>15</v>
      </c>
    </row>
    <row r="50" spans="1:44" ht="18.75" customHeight="1">
      <c r="I50" s="199" t="str">
        <f>'1'!$I$16</f>
        <v>補助内示額</v>
      </c>
      <c r="J50" s="199"/>
      <c r="K50" s="199"/>
      <c r="L50" s="199"/>
      <c r="M50" s="199"/>
      <c r="N50" s="199"/>
      <c r="S50" s="206">
        <f>INDEX(送付先一覧!A:O,MATCH(AV38,送付先一覧!A:A,0),12)</f>
        <v>666000</v>
      </c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199"/>
      <c r="AG50" s="199"/>
      <c r="AH50" s="199"/>
      <c r="AI50" s="199"/>
      <c r="AR50" s="15">
        <f t="shared" si="1"/>
        <v>16</v>
      </c>
    </row>
    <row r="51" spans="1:44" ht="18.75" customHeight="1">
      <c r="I51" s="199" t="str">
        <f>'1'!$I$17</f>
        <v>事業種別</v>
      </c>
      <c r="J51" s="199"/>
      <c r="K51" s="199"/>
      <c r="L51" s="199"/>
      <c r="M51" s="199"/>
      <c r="N51" s="199"/>
      <c r="O51" s="199"/>
      <c r="P51" s="199"/>
      <c r="Q51" s="199"/>
      <c r="R51" s="199"/>
      <c r="S51" s="199" t="str">
        <f>INDEX(送付先一覧!A:O,MATCH(AV38,送付先一覧!A:A,0),9)</f>
        <v>就労継続支援B型</v>
      </c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R51" s="15">
        <f t="shared" si="1"/>
        <v>17</v>
      </c>
    </row>
    <row r="52" spans="1:44" ht="18.75" customHeight="1">
      <c r="I52" s="199" t="str">
        <f>'1'!$I$18</f>
        <v>事業所名</v>
      </c>
      <c r="J52" s="199"/>
      <c r="K52" s="199"/>
      <c r="L52" s="199"/>
      <c r="M52" s="199"/>
      <c r="N52" s="199"/>
      <c r="O52" s="199"/>
      <c r="P52" s="199"/>
      <c r="Q52" s="199"/>
      <c r="R52" s="199"/>
      <c r="S52" s="204" t="str">
        <f>INDEX(送付先一覧!A:O,MATCH(AV38,送付先一覧!A:A,0),8)</f>
        <v>びすた～りフードマーケット</v>
      </c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15">
        <f t="shared" si="1"/>
        <v>18</v>
      </c>
    </row>
    <row r="53" spans="1:44" ht="18.75" customHeight="1"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15">
        <f t="shared" si="1"/>
        <v>19</v>
      </c>
    </row>
    <row r="54" spans="1:44" ht="18.75" customHeight="1"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198"/>
      <c r="AR54" s="15">
        <f t="shared" si="1"/>
        <v>20</v>
      </c>
    </row>
    <row r="55" spans="1:44" ht="18.75" customHeight="1">
      <c r="A55" s="198"/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5">
        <f t="shared" si="1"/>
        <v>21</v>
      </c>
    </row>
    <row r="56" spans="1:44" ht="18.75" customHeight="1">
      <c r="A56" s="198"/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5">
        <f t="shared" si="1"/>
        <v>22</v>
      </c>
    </row>
    <row r="57" spans="1:44" ht="18.75" customHeight="1">
      <c r="A57" s="198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5">
        <f t="shared" si="1"/>
        <v>23</v>
      </c>
    </row>
    <row r="58" spans="1:44" ht="18.75" customHeight="1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5">
        <f t="shared" si="1"/>
        <v>24</v>
      </c>
    </row>
    <row r="59" spans="1:44" ht="18.75" customHeight="1">
      <c r="A59" s="198"/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5">
        <f t="shared" si="1"/>
        <v>25</v>
      </c>
    </row>
    <row r="60" spans="1:44" ht="18.75" customHeight="1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5">
        <f t="shared" si="1"/>
        <v>26</v>
      </c>
    </row>
    <row r="61" spans="1:44" ht="18.75" customHeight="1">
      <c r="A61" s="198"/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5">
        <f t="shared" si="1"/>
        <v>27</v>
      </c>
    </row>
    <row r="62" spans="1:44" ht="18.75" customHeight="1">
      <c r="A62" s="198"/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5">
        <f t="shared" si="1"/>
        <v>28</v>
      </c>
    </row>
    <row r="63" spans="1:44" ht="18.75" customHeight="1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5">
        <f t="shared" si="1"/>
        <v>29</v>
      </c>
    </row>
    <row r="64" spans="1:44" ht="18.75" customHeight="1">
      <c r="A64" s="198"/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5">
        <f t="shared" si="1"/>
        <v>30</v>
      </c>
    </row>
    <row r="65" spans="1:48" ht="18.75" customHeight="1">
      <c r="A65" s="198"/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5">
        <f t="shared" si="1"/>
        <v>31</v>
      </c>
    </row>
    <row r="66" spans="1:48" ht="18.75" customHeight="1">
      <c r="A66" s="198"/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5">
        <f t="shared" si="1"/>
        <v>32</v>
      </c>
    </row>
    <row r="67" spans="1:48" ht="18.75" customHeight="1">
      <c r="A67" s="198"/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5">
        <f t="shared" si="1"/>
        <v>33</v>
      </c>
    </row>
    <row r="68" spans="1:48" ht="18.75" customHeight="1">
      <c r="A68" s="198"/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5">
        <f t="shared" si="1"/>
        <v>34</v>
      </c>
    </row>
    <row r="69" spans="1:48" ht="16.5" customHeight="1">
      <c r="A69" s="197"/>
      <c r="B69" s="197"/>
      <c r="AI69" s="200" t="str">
        <f>'1'!$AI$1</f>
        <v>R4健障障第100号</v>
      </c>
      <c r="AJ69" s="200"/>
      <c r="AK69" s="200"/>
      <c r="AL69" s="200"/>
      <c r="AM69" s="200"/>
      <c r="AN69" s="200"/>
      <c r="AO69" s="200"/>
      <c r="AP69" s="200"/>
      <c r="AQ69" s="200"/>
      <c r="AR69" s="15">
        <v>1</v>
      </c>
    </row>
    <row r="70" spans="1:48" ht="16.5" customHeight="1">
      <c r="A70" s="197"/>
      <c r="B70" s="197"/>
      <c r="AI70" s="201">
        <f>'1'!$AI$2</f>
        <v>44677</v>
      </c>
      <c r="AJ70" s="201"/>
      <c r="AK70" s="201"/>
      <c r="AL70" s="201"/>
      <c r="AM70" s="201"/>
      <c r="AN70" s="201"/>
      <c r="AO70" s="201"/>
      <c r="AP70" s="201"/>
      <c r="AQ70" s="201"/>
      <c r="AR70" s="15">
        <f>AR69+1</f>
        <v>2</v>
      </c>
    </row>
    <row r="71" spans="1:48" ht="18.75" customHeight="1">
      <c r="A71" s="198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5">
        <f t="shared" ref="AR71:AR102" si="2">AR70+1</f>
        <v>3</v>
      </c>
    </row>
    <row r="72" spans="1:48" ht="18.75" customHeight="1">
      <c r="A72" s="199" t="str">
        <f>INDEX(送付先一覧!A:O,MATCH(AV72,送付先一覧!A:A,0),4)</f>
        <v>特定非営利活動法人ほっぷの森</v>
      </c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5">
        <f t="shared" si="2"/>
        <v>4</v>
      </c>
      <c r="AV72" s="65">
        <f>AV38+1</f>
        <v>40</v>
      </c>
    </row>
    <row r="73" spans="1:48" ht="18.75" customHeight="1">
      <c r="A73" s="202" t="str">
        <f>INDEX(送付先一覧!A:O,MATCH(AV72,送付先一覧!A:A,0),5)</f>
        <v>理事長　白木　福次郎</v>
      </c>
      <c r="B73" s="202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202"/>
      <c r="AD73" s="202"/>
      <c r="AE73" s="202"/>
      <c r="AF73" s="202"/>
      <c r="AG73" s="202"/>
      <c r="AH73" s="202"/>
      <c r="AI73" s="202"/>
      <c r="AJ73" s="202"/>
      <c r="AK73" s="202"/>
      <c r="AL73" s="202"/>
      <c r="AM73" s="202"/>
      <c r="AN73" s="202"/>
      <c r="AO73" s="202"/>
      <c r="AP73" s="202"/>
      <c r="AQ73" s="202"/>
      <c r="AR73" s="15">
        <f t="shared" si="2"/>
        <v>5</v>
      </c>
    </row>
    <row r="74" spans="1:48" ht="18.75" customHeight="1">
      <c r="A74" s="198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5">
        <f t="shared" si="2"/>
        <v>6</v>
      </c>
    </row>
    <row r="75" spans="1:48" ht="18.75" customHeight="1">
      <c r="V75" s="199" t="str">
        <f>'1'!$V$7</f>
        <v>仙台市健康福祉局障害福祉部障害企画課長　　</v>
      </c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5">
        <f t="shared" si="2"/>
        <v>7</v>
      </c>
    </row>
    <row r="76" spans="1:48" ht="18.75" customHeight="1">
      <c r="V76" s="199" t="str">
        <f>'1'!$V$8</f>
        <v>仙台市健康福祉局障害福祉部障害者支援課長　</v>
      </c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5">
        <f t="shared" si="2"/>
        <v>8</v>
      </c>
    </row>
    <row r="77" spans="1:48" ht="18.75" customHeight="1">
      <c r="A77" s="198"/>
      <c r="B77" s="198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5">
        <f t="shared" si="2"/>
        <v>9</v>
      </c>
    </row>
    <row r="78" spans="1:48" ht="22.5" customHeight="1">
      <c r="A78" s="203" t="str">
        <f>'1'!$A$10</f>
        <v>令和４年度仙台市障害福祉分野のICT導入モデル事業補助金の内示について</v>
      </c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15">
        <f t="shared" si="2"/>
        <v>10</v>
      </c>
    </row>
    <row r="79" spans="1:48" ht="18.75" customHeight="1">
      <c r="A79" s="198"/>
      <c r="B79" s="198"/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5">
        <f t="shared" si="2"/>
        <v>11</v>
      </c>
    </row>
    <row r="80" spans="1:48" ht="93.75" customHeight="1">
      <c r="A80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80" s="205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5">
        <f t="shared" si="2"/>
        <v>12</v>
      </c>
    </row>
    <row r="81" spans="1:44" ht="18.75" customHeight="1">
      <c r="A81" s="198"/>
      <c r="B81" s="198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5">
        <f t="shared" si="2"/>
        <v>13</v>
      </c>
    </row>
    <row r="82" spans="1:44" ht="18.75" customHeight="1">
      <c r="A82" s="197" t="str">
        <f>'1'!$A$14</f>
        <v>記</v>
      </c>
      <c r="B82" s="197"/>
      <c r="C82" s="197"/>
      <c r="D82" s="197"/>
      <c r="E82" s="197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5">
        <f t="shared" si="2"/>
        <v>14</v>
      </c>
    </row>
    <row r="83" spans="1:44" ht="18.75" customHeight="1">
      <c r="A83" s="198"/>
      <c r="B83" s="198"/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5">
        <f t="shared" si="2"/>
        <v>15</v>
      </c>
    </row>
    <row r="84" spans="1:44" ht="18.75" customHeight="1">
      <c r="I84" s="199" t="str">
        <f>'1'!$I$16</f>
        <v>補助内示額</v>
      </c>
      <c r="J84" s="199"/>
      <c r="K84" s="199"/>
      <c r="L84" s="199"/>
      <c r="M84" s="199"/>
      <c r="N84" s="199"/>
      <c r="S84" s="206">
        <f>INDEX(送付先一覧!A:O,MATCH(AV72,送付先一覧!A:A,0),12)</f>
        <v>446000</v>
      </c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199"/>
      <c r="AG84" s="199"/>
      <c r="AH84" s="199"/>
      <c r="AI84" s="199"/>
      <c r="AR84" s="15">
        <f t="shared" si="2"/>
        <v>16</v>
      </c>
    </row>
    <row r="85" spans="1:44" ht="18.75" customHeight="1">
      <c r="I85" s="199" t="str">
        <f>'1'!$I$17</f>
        <v>事業種別</v>
      </c>
      <c r="J85" s="199"/>
      <c r="K85" s="199"/>
      <c r="L85" s="199"/>
      <c r="M85" s="199"/>
      <c r="N85" s="199"/>
      <c r="O85" s="199"/>
      <c r="P85" s="199"/>
      <c r="Q85" s="199"/>
      <c r="R85" s="199"/>
      <c r="S85" s="199" t="str">
        <f>INDEX(送付先一覧!A:O,MATCH(AV72,送付先一覧!A:A,0),9)</f>
        <v>就労移行支援</v>
      </c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R85" s="15">
        <f t="shared" si="2"/>
        <v>17</v>
      </c>
    </row>
    <row r="86" spans="1:44" ht="18.75" customHeight="1">
      <c r="I86" s="199" t="str">
        <f>'1'!$I$18</f>
        <v>事業所名</v>
      </c>
      <c r="J86" s="199"/>
      <c r="K86" s="199"/>
      <c r="L86" s="199"/>
      <c r="M86" s="199"/>
      <c r="N86" s="199"/>
      <c r="O86" s="199"/>
      <c r="P86" s="199"/>
      <c r="Q86" s="199"/>
      <c r="R86" s="199"/>
      <c r="S86" s="204" t="str">
        <f>INDEX(送付先一覧!A:O,MATCH(AV72,送付先一覧!A:A,0),8)</f>
        <v>就労支援センターほっぷ</v>
      </c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15">
        <f t="shared" si="2"/>
        <v>18</v>
      </c>
    </row>
    <row r="87" spans="1:44" ht="18.75" customHeight="1">
      <c r="I87" s="198"/>
      <c r="J87" s="198"/>
      <c r="K87" s="198"/>
      <c r="L87" s="198"/>
      <c r="M87" s="198"/>
      <c r="N87" s="198"/>
      <c r="O87" s="198"/>
      <c r="P87" s="198"/>
      <c r="Q87" s="198"/>
      <c r="R87" s="198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15">
        <f t="shared" si="2"/>
        <v>19</v>
      </c>
    </row>
    <row r="88" spans="1:44" ht="18.75" customHeight="1">
      <c r="I88" s="198"/>
      <c r="J88" s="198"/>
      <c r="K88" s="198"/>
      <c r="L88" s="198"/>
      <c r="M88" s="198"/>
      <c r="N88" s="198"/>
      <c r="O88" s="198"/>
      <c r="P88" s="198"/>
      <c r="Q88" s="198"/>
      <c r="R88" s="198"/>
      <c r="S88" s="198"/>
      <c r="T88" s="198"/>
      <c r="U88" s="198"/>
      <c r="V88" s="198"/>
      <c r="W88" s="198"/>
      <c r="X88" s="198"/>
      <c r="Y88" s="198"/>
      <c r="Z88" s="198"/>
      <c r="AA88" s="198"/>
      <c r="AB88" s="198"/>
      <c r="AC88" s="198"/>
      <c r="AD88" s="198"/>
      <c r="AE88" s="198"/>
      <c r="AF88" s="198"/>
      <c r="AG88" s="198"/>
      <c r="AH88" s="198"/>
      <c r="AI88" s="198"/>
      <c r="AR88" s="15">
        <f t="shared" si="2"/>
        <v>20</v>
      </c>
    </row>
    <row r="89" spans="1:44" ht="18.75" customHeight="1">
      <c r="A89" s="198"/>
      <c r="B89" s="198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198"/>
      <c r="Q89" s="198"/>
      <c r="R89" s="198"/>
      <c r="S89" s="198"/>
      <c r="T89" s="198"/>
      <c r="U89" s="198"/>
      <c r="V89" s="198"/>
      <c r="W89" s="198"/>
      <c r="X89" s="198"/>
      <c r="Y89" s="198"/>
      <c r="Z89" s="198"/>
      <c r="AA89" s="198"/>
      <c r="AB89" s="198"/>
      <c r="AC89" s="198"/>
      <c r="AD89" s="198"/>
      <c r="AE89" s="198"/>
      <c r="AF89" s="198"/>
      <c r="AG89" s="198"/>
      <c r="AH89" s="198"/>
      <c r="AI89" s="198"/>
      <c r="AJ89" s="198"/>
      <c r="AK89" s="198"/>
      <c r="AL89" s="198"/>
      <c r="AM89" s="198"/>
      <c r="AN89" s="198"/>
      <c r="AO89" s="198"/>
      <c r="AP89" s="198"/>
      <c r="AQ89" s="198"/>
      <c r="AR89" s="15">
        <f t="shared" si="2"/>
        <v>21</v>
      </c>
    </row>
    <row r="90" spans="1:44" ht="18.75" customHeight="1">
      <c r="A90" s="198"/>
      <c r="B90" s="198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  <c r="AA90" s="198"/>
      <c r="AB90" s="198"/>
      <c r="AC90" s="198"/>
      <c r="AD90" s="198"/>
      <c r="AE90" s="198"/>
      <c r="AF90" s="198"/>
      <c r="AG90" s="198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5">
        <f t="shared" si="2"/>
        <v>22</v>
      </c>
    </row>
    <row r="91" spans="1:44" ht="18.75" customHeight="1">
      <c r="A91" s="198"/>
      <c r="B91" s="198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8"/>
      <c r="Q91" s="198"/>
      <c r="R91" s="198"/>
      <c r="S91" s="198"/>
      <c r="T91" s="198"/>
      <c r="U91" s="198"/>
      <c r="V91" s="198"/>
      <c r="W91" s="198"/>
      <c r="X91" s="198"/>
      <c r="Y91" s="198"/>
      <c r="Z91" s="198"/>
      <c r="AA91" s="198"/>
      <c r="AB91" s="198"/>
      <c r="AC91" s="198"/>
      <c r="AD91" s="198"/>
      <c r="AE91" s="198"/>
      <c r="AF91" s="198"/>
      <c r="AG91" s="198"/>
      <c r="AH91" s="198"/>
      <c r="AI91" s="198"/>
      <c r="AJ91" s="198"/>
      <c r="AK91" s="198"/>
      <c r="AL91" s="198"/>
      <c r="AM91" s="198"/>
      <c r="AN91" s="198"/>
      <c r="AO91" s="198"/>
      <c r="AP91" s="198"/>
      <c r="AQ91" s="198"/>
      <c r="AR91" s="15">
        <f t="shared" si="2"/>
        <v>23</v>
      </c>
    </row>
    <row r="92" spans="1:44" ht="18.75" customHeight="1">
      <c r="A92" s="198"/>
      <c r="B92" s="198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198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5">
        <f t="shared" si="2"/>
        <v>24</v>
      </c>
    </row>
    <row r="93" spans="1:44" ht="18.75" customHeight="1">
      <c r="A93" s="198"/>
      <c r="B93" s="198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198"/>
      <c r="Y93" s="198"/>
      <c r="Z93" s="198"/>
      <c r="AA93" s="198"/>
      <c r="AB93" s="198"/>
      <c r="AC93" s="198"/>
      <c r="AD93" s="198"/>
      <c r="AE93" s="198"/>
      <c r="AF93" s="198"/>
      <c r="AG93" s="198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5">
        <f t="shared" si="2"/>
        <v>25</v>
      </c>
    </row>
    <row r="94" spans="1:44" ht="18.75" customHeight="1">
      <c r="A94" s="198"/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98"/>
      <c r="AE94" s="198"/>
      <c r="AF94" s="198"/>
      <c r="AG94" s="198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5">
        <f t="shared" si="2"/>
        <v>26</v>
      </c>
    </row>
    <row r="95" spans="1:44" ht="18.75" customHeight="1">
      <c r="A95" s="198"/>
      <c r="B95" s="198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8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5">
        <f t="shared" si="2"/>
        <v>27</v>
      </c>
    </row>
    <row r="96" spans="1:44" ht="18.75" customHeight="1">
      <c r="A96" s="198"/>
      <c r="B96" s="198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5">
        <f t="shared" si="2"/>
        <v>28</v>
      </c>
    </row>
    <row r="97" spans="1:44" ht="18.75" customHeight="1">
      <c r="A97" s="198"/>
      <c r="B97" s="198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198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5">
        <f t="shared" si="2"/>
        <v>29</v>
      </c>
    </row>
    <row r="98" spans="1:44" ht="18.75" customHeight="1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5">
        <f t="shared" si="2"/>
        <v>30</v>
      </c>
    </row>
    <row r="99" spans="1:44" ht="18.75" customHeight="1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5">
        <f t="shared" si="2"/>
        <v>31</v>
      </c>
    </row>
    <row r="100" spans="1:44" ht="18.75" customHeight="1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5">
        <f t="shared" si="2"/>
        <v>32</v>
      </c>
    </row>
    <row r="101" spans="1:44" ht="18.75" customHeight="1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5">
        <f t="shared" si="2"/>
        <v>33</v>
      </c>
    </row>
    <row r="102" spans="1:44" ht="18.75" customHeight="1">
      <c r="A102" s="198"/>
      <c r="B102" s="198"/>
      <c r="C102" s="198"/>
      <c r="D102" s="198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5">
        <f t="shared" si="2"/>
        <v>34</v>
      </c>
    </row>
    <row r="103" spans="1:44" ht="16.5" customHeight="1"/>
    <row r="104" spans="1:44" ht="16.5" customHeight="1"/>
    <row r="105" spans="1:44" ht="16.5" customHeight="1"/>
    <row r="106" spans="1:44" ht="16.5" customHeight="1"/>
    <row r="107" spans="1:44" ht="16.5" customHeight="1"/>
    <row r="108" spans="1:44" ht="16.5" customHeight="1"/>
    <row r="109" spans="1:44" ht="16.5" customHeight="1"/>
    <row r="110" spans="1:44" ht="16.5" customHeight="1"/>
    <row r="111" spans="1:44" ht="16.5" customHeight="1"/>
    <row r="112" spans="1:44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</sheetData>
  <sheetProtection formatCells="0" selectLockedCells="1"/>
  <mergeCells count="129">
    <mergeCell ref="A98:AQ98"/>
    <mergeCell ref="A99:AQ99"/>
    <mergeCell ref="A100:AQ100"/>
    <mergeCell ref="A101:AQ101"/>
    <mergeCell ref="A102:AQ102"/>
    <mergeCell ref="A92:AQ92"/>
    <mergeCell ref="A93:AQ93"/>
    <mergeCell ref="A94:AQ94"/>
    <mergeCell ref="A95:AQ95"/>
    <mergeCell ref="A96:AQ96"/>
    <mergeCell ref="A97:AQ97"/>
    <mergeCell ref="I87:R87"/>
    <mergeCell ref="I88:R88"/>
    <mergeCell ref="S88:AI88"/>
    <mergeCell ref="A89:AQ89"/>
    <mergeCell ref="A90:AQ90"/>
    <mergeCell ref="A91:AQ91"/>
    <mergeCell ref="I85:N85"/>
    <mergeCell ref="O85:R85"/>
    <mergeCell ref="S85:AP85"/>
    <mergeCell ref="I86:N86"/>
    <mergeCell ref="O86:R86"/>
    <mergeCell ref="S86:AQ86"/>
    <mergeCell ref="A81:AQ81"/>
    <mergeCell ref="A82:AQ82"/>
    <mergeCell ref="A83:AQ83"/>
    <mergeCell ref="I84:N84"/>
    <mergeCell ref="S84:AE84"/>
    <mergeCell ref="AF84:AI84"/>
    <mergeCell ref="V75:AQ75"/>
    <mergeCell ref="V76:AQ76"/>
    <mergeCell ref="A77:AQ77"/>
    <mergeCell ref="A78:AQ78"/>
    <mergeCell ref="A79:AQ79"/>
    <mergeCell ref="A80:AQ80"/>
    <mergeCell ref="A70:B70"/>
    <mergeCell ref="AI70:AQ70"/>
    <mergeCell ref="A71:AQ71"/>
    <mergeCell ref="A72:AQ72"/>
    <mergeCell ref="A73:AQ73"/>
    <mergeCell ref="A74:AQ74"/>
    <mergeCell ref="A64:AQ64"/>
    <mergeCell ref="A65:AQ65"/>
    <mergeCell ref="A66:AQ66"/>
    <mergeCell ref="A67:AQ67"/>
    <mergeCell ref="A68:AQ68"/>
    <mergeCell ref="A69:B69"/>
    <mergeCell ref="AI69:AQ69"/>
    <mergeCell ref="A58:AQ58"/>
    <mergeCell ref="A59:AQ59"/>
    <mergeCell ref="A60:AQ60"/>
    <mergeCell ref="A61:AQ61"/>
    <mergeCell ref="A62:AQ62"/>
    <mergeCell ref="A63:AQ63"/>
    <mergeCell ref="I53:R53"/>
    <mergeCell ref="I54:R54"/>
    <mergeCell ref="S54:AI54"/>
    <mergeCell ref="A55:AQ55"/>
    <mergeCell ref="A56:AQ56"/>
    <mergeCell ref="A57:AQ57"/>
    <mergeCell ref="I51:N51"/>
    <mergeCell ref="O51:R51"/>
    <mergeCell ref="S51:AP51"/>
    <mergeCell ref="I52:N52"/>
    <mergeCell ref="O52:R52"/>
    <mergeCell ref="S52:AQ52"/>
    <mergeCell ref="A47:AQ47"/>
    <mergeCell ref="A48:AQ48"/>
    <mergeCell ref="A49:AQ49"/>
    <mergeCell ref="I50:N50"/>
    <mergeCell ref="S50:AE50"/>
    <mergeCell ref="AF50:AI50"/>
    <mergeCell ref="V41:AQ41"/>
    <mergeCell ref="V42:AQ42"/>
    <mergeCell ref="A43:AQ43"/>
    <mergeCell ref="A44:AQ44"/>
    <mergeCell ref="A45:AQ45"/>
    <mergeCell ref="A46:AQ46"/>
    <mergeCell ref="A36:B36"/>
    <mergeCell ref="AI36:AQ36"/>
    <mergeCell ref="A37:AQ37"/>
    <mergeCell ref="A38:AQ38"/>
    <mergeCell ref="A39:AQ39"/>
    <mergeCell ref="A40:AQ40"/>
    <mergeCell ref="A30:AQ30"/>
    <mergeCell ref="A31:AQ31"/>
    <mergeCell ref="A32:AQ32"/>
    <mergeCell ref="A33:AQ33"/>
    <mergeCell ref="A34:AQ34"/>
    <mergeCell ref="A35:B35"/>
    <mergeCell ref="AI35:AQ35"/>
    <mergeCell ref="A24:AQ24"/>
    <mergeCell ref="A25:AQ25"/>
    <mergeCell ref="A26:AQ26"/>
    <mergeCell ref="A27:AQ27"/>
    <mergeCell ref="A28:AQ28"/>
    <mergeCell ref="A29:AQ29"/>
    <mergeCell ref="I19:R19"/>
    <mergeCell ref="I20:R20"/>
    <mergeCell ref="S20:AI20"/>
    <mergeCell ref="A21:AQ21"/>
    <mergeCell ref="A22:AQ22"/>
    <mergeCell ref="A23:AQ23"/>
    <mergeCell ref="I17:N17"/>
    <mergeCell ref="O17:R17"/>
    <mergeCell ref="S17:AP17"/>
    <mergeCell ref="I18:N18"/>
    <mergeCell ref="O18:R18"/>
    <mergeCell ref="S18:AQ18"/>
    <mergeCell ref="A14:AQ14"/>
    <mergeCell ref="A15:AQ15"/>
    <mergeCell ref="I16:N16"/>
    <mergeCell ref="S16:AE16"/>
    <mergeCell ref="AF16:AI16"/>
    <mergeCell ref="A5:AQ5"/>
    <mergeCell ref="A6:AQ6"/>
    <mergeCell ref="V7:AQ7"/>
    <mergeCell ref="V8:AQ8"/>
    <mergeCell ref="A9:AQ9"/>
    <mergeCell ref="A10:AQ10"/>
    <mergeCell ref="A1:B1"/>
    <mergeCell ref="AI1:AQ1"/>
    <mergeCell ref="A2:B2"/>
    <mergeCell ref="AI2:AQ2"/>
    <mergeCell ref="A3:AQ3"/>
    <mergeCell ref="A4:AQ4"/>
    <mergeCell ref="A11:AQ11"/>
    <mergeCell ref="A12:AQ12"/>
    <mergeCell ref="A13:AQ13"/>
  </mergeCells>
  <phoneticPr fontId="1"/>
  <pageMargins left="0.98425196850393704" right="0.98425196850393704" top="1.3779527559055118" bottom="1.1811023622047245" header="0.51181102362204722" footer="0.5118110236220472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4">
    <tabColor rgb="FFFFC000"/>
  </sheetPr>
  <dimension ref="A1:AV284"/>
  <sheetViews>
    <sheetView showGridLines="0" view="pageBreakPreview" zoomScaleNormal="100" zoomScaleSheetLayoutView="100" workbookViewId="0">
      <selection activeCell="V7" sqref="V7:AQ7"/>
    </sheetView>
  </sheetViews>
  <sheetFormatPr defaultColWidth="9" defaultRowHeight="22.5" customHeight="1"/>
  <cols>
    <col min="1" max="43" width="1.90625" style="13" customWidth="1"/>
    <col min="44" max="44" width="3.36328125" style="15" customWidth="1"/>
    <col min="45" max="47" width="1.90625" style="13" customWidth="1"/>
    <col min="48" max="48" width="6.26953125" style="13" customWidth="1"/>
    <col min="49" max="49" width="25" style="13" customWidth="1"/>
    <col min="50" max="16384" width="9" style="13"/>
  </cols>
  <sheetData>
    <row r="1" spans="1:48" ht="16.5" customHeight="1">
      <c r="A1" s="197"/>
      <c r="B1" s="197"/>
      <c r="AI1" s="200" t="str">
        <f>'1'!$AI$1</f>
        <v>R4健障障第100号</v>
      </c>
      <c r="AJ1" s="200"/>
      <c r="AK1" s="200"/>
      <c r="AL1" s="200"/>
      <c r="AM1" s="200"/>
      <c r="AN1" s="200"/>
      <c r="AO1" s="200"/>
      <c r="AP1" s="200"/>
      <c r="AQ1" s="200"/>
      <c r="AR1" s="15">
        <v>1</v>
      </c>
    </row>
    <row r="2" spans="1:48" ht="16.5" customHeight="1">
      <c r="A2" s="197"/>
      <c r="B2" s="197"/>
      <c r="AI2" s="201">
        <f>'1'!$AI$2</f>
        <v>44677</v>
      </c>
      <c r="AJ2" s="201"/>
      <c r="AK2" s="201"/>
      <c r="AL2" s="201"/>
      <c r="AM2" s="201"/>
      <c r="AN2" s="201"/>
      <c r="AO2" s="201"/>
      <c r="AP2" s="201"/>
      <c r="AQ2" s="201"/>
      <c r="AR2" s="15">
        <f>AR1+1</f>
        <v>2</v>
      </c>
    </row>
    <row r="3" spans="1:48" ht="18.7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5">
        <f t="shared" ref="AR3:AR34" si="0">AR2+1</f>
        <v>3</v>
      </c>
    </row>
    <row r="4" spans="1:48" ht="18.75" customHeight="1">
      <c r="A4" s="199" t="str">
        <f>INDEX(送付先一覧!A:O,MATCH(AV4,送付先一覧!A:A,0),4)</f>
        <v>特定非営利活動法人自閉症ピアリンクセンターここねっと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5">
        <f t="shared" si="0"/>
        <v>4</v>
      </c>
      <c r="AV4" s="65">
        <v>41</v>
      </c>
    </row>
    <row r="5" spans="1:48" ht="18.75" customHeight="1">
      <c r="A5" s="202" t="str">
        <f>INDEX(送付先一覧!A:O,MATCH(AV4,送付先一覧!A:A,0),5)</f>
        <v>理事長　涌澤　圭介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15">
        <f t="shared" si="0"/>
        <v>5</v>
      </c>
    </row>
    <row r="6" spans="1:48" ht="18.75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5">
        <f t="shared" si="0"/>
        <v>6</v>
      </c>
    </row>
    <row r="7" spans="1:48" ht="18.75" customHeight="1">
      <c r="V7" s="199" t="str">
        <f>'1'!$V$7</f>
        <v>仙台市健康福祉局障害福祉部障害企画課長　　</v>
      </c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5">
        <f t="shared" si="0"/>
        <v>7</v>
      </c>
    </row>
    <row r="8" spans="1:48" ht="18.75" customHeight="1">
      <c r="V8" s="199" t="str">
        <f>'1'!$V$8</f>
        <v>仙台市健康福祉局障害福祉部障害者支援課長　</v>
      </c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5">
        <f t="shared" si="0"/>
        <v>8</v>
      </c>
    </row>
    <row r="9" spans="1:48" ht="18.7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5">
        <f t="shared" si="0"/>
        <v>9</v>
      </c>
    </row>
    <row r="10" spans="1:48" ht="22.5" customHeight="1">
      <c r="A10" s="203" t="str">
        <f>'1'!$A$10</f>
        <v>令和４年度仙台市障害福祉分野のICT導入モデル事業補助金の内示について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15">
        <f t="shared" si="0"/>
        <v>10</v>
      </c>
    </row>
    <row r="11" spans="1:48" ht="18.7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5">
        <f t="shared" si="0"/>
        <v>11</v>
      </c>
    </row>
    <row r="12" spans="1:48" ht="93.75" customHeight="1">
      <c r="A12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15">
        <f t="shared" si="0"/>
        <v>12</v>
      </c>
    </row>
    <row r="13" spans="1:48" ht="18.7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5">
        <f t="shared" si="0"/>
        <v>13</v>
      </c>
    </row>
    <row r="14" spans="1:48" ht="18.75" customHeight="1">
      <c r="A14" s="197" t="str">
        <f>'1'!$A$14</f>
        <v>記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5">
        <f t="shared" si="0"/>
        <v>14</v>
      </c>
    </row>
    <row r="15" spans="1:48" ht="18.7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5">
        <f t="shared" si="0"/>
        <v>15</v>
      </c>
    </row>
    <row r="16" spans="1:48" ht="18.75" customHeight="1">
      <c r="I16" s="199" t="str">
        <f>'1'!$I$16</f>
        <v>補助内示額</v>
      </c>
      <c r="J16" s="199"/>
      <c r="K16" s="199"/>
      <c r="L16" s="199"/>
      <c r="M16" s="199"/>
      <c r="N16" s="199"/>
      <c r="S16" s="206">
        <f>INDEX(送付先一覧!A:O,MATCH(AV4,送付先一覧!A:A,0),12)</f>
        <v>50000</v>
      </c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199"/>
      <c r="AG16" s="199"/>
      <c r="AH16" s="199"/>
      <c r="AI16" s="199"/>
      <c r="AR16" s="15">
        <f t="shared" si="0"/>
        <v>16</v>
      </c>
    </row>
    <row r="17" spans="1:44" ht="18.75" customHeight="1">
      <c r="I17" s="199" t="str">
        <f>'1'!$I$17</f>
        <v>事業種別</v>
      </c>
      <c r="J17" s="199"/>
      <c r="K17" s="199"/>
      <c r="L17" s="199"/>
      <c r="M17" s="199"/>
      <c r="N17" s="199"/>
      <c r="O17" s="199"/>
      <c r="P17" s="199"/>
      <c r="Q17" s="199"/>
      <c r="R17" s="199"/>
      <c r="S17" s="199" t="str">
        <f>INDEX(送付先一覧!A:O,MATCH(AV4,送付先一覧!A:A,0),9)</f>
        <v>計画相談支援</v>
      </c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R17" s="15">
        <f t="shared" si="0"/>
        <v>17</v>
      </c>
    </row>
    <row r="18" spans="1:44" ht="18.75" customHeight="1">
      <c r="I18" s="199" t="str">
        <f>'1'!$I$18</f>
        <v>事業所名</v>
      </c>
      <c r="J18" s="199"/>
      <c r="K18" s="199"/>
      <c r="L18" s="199"/>
      <c r="M18" s="199"/>
      <c r="N18" s="199"/>
      <c r="O18" s="199"/>
      <c r="P18" s="199"/>
      <c r="Q18" s="199"/>
      <c r="R18" s="199"/>
      <c r="S18" s="204" t="str">
        <f>INDEX(送付先一覧!A:O,MATCH(AV4,送付先一覧!A:A,0),8)</f>
        <v>仙台市自閉症相談センター</v>
      </c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15">
        <f t="shared" si="0"/>
        <v>18</v>
      </c>
    </row>
    <row r="19" spans="1:44" ht="18.75" customHeight="1"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15">
        <f t="shared" si="0"/>
        <v>19</v>
      </c>
    </row>
    <row r="20" spans="1:44" ht="18.75" customHeight="1"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R20" s="15">
        <f t="shared" si="0"/>
        <v>20</v>
      </c>
    </row>
    <row r="21" spans="1:44" ht="18.7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5">
        <f t="shared" si="0"/>
        <v>21</v>
      </c>
    </row>
    <row r="22" spans="1:44" ht="18.75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5">
        <f t="shared" si="0"/>
        <v>22</v>
      </c>
    </row>
    <row r="23" spans="1:44" ht="18.75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5">
        <f t="shared" si="0"/>
        <v>23</v>
      </c>
    </row>
    <row r="24" spans="1:44" ht="18.75" customHeight="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5">
        <f t="shared" si="0"/>
        <v>24</v>
      </c>
    </row>
    <row r="25" spans="1:44" ht="18.7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5">
        <f t="shared" si="0"/>
        <v>25</v>
      </c>
    </row>
    <row r="26" spans="1:44" ht="18.7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5">
        <f t="shared" si="0"/>
        <v>26</v>
      </c>
    </row>
    <row r="27" spans="1:44" ht="18.75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5">
        <f t="shared" si="0"/>
        <v>27</v>
      </c>
    </row>
    <row r="28" spans="1:44" ht="18.7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5">
        <f t="shared" si="0"/>
        <v>28</v>
      </c>
    </row>
    <row r="29" spans="1:44" ht="18.75" customHeight="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5">
        <f t="shared" si="0"/>
        <v>29</v>
      </c>
    </row>
    <row r="30" spans="1:44" ht="18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5">
        <f t="shared" si="0"/>
        <v>30</v>
      </c>
    </row>
    <row r="31" spans="1:44" ht="18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5">
        <f t="shared" si="0"/>
        <v>31</v>
      </c>
    </row>
    <row r="32" spans="1:44" ht="18.75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5">
        <f t="shared" si="0"/>
        <v>32</v>
      </c>
    </row>
    <row r="33" spans="1:48" ht="18.7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5">
        <f t="shared" si="0"/>
        <v>33</v>
      </c>
    </row>
    <row r="34" spans="1:48" ht="18.7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5">
        <f t="shared" si="0"/>
        <v>34</v>
      </c>
    </row>
    <row r="35" spans="1:48" ht="16.5" customHeight="1">
      <c r="A35" s="197"/>
      <c r="B35" s="197"/>
      <c r="AI35" s="200" t="str">
        <f>'1'!$AI$1</f>
        <v>R4健障障第100号</v>
      </c>
      <c r="AJ35" s="200"/>
      <c r="AK35" s="200"/>
      <c r="AL35" s="200"/>
      <c r="AM35" s="200"/>
      <c r="AN35" s="200"/>
      <c r="AO35" s="200"/>
      <c r="AP35" s="200"/>
      <c r="AQ35" s="200"/>
      <c r="AR35" s="15">
        <v>1</v>
      </c>
    </row>
    <row r="36" spans="1:48" ht="16.5" customHeight="1">
      <c r="A36" s="197"/>
      <c r="B36" s="197"/>
      <c r="AI36" s="201">
        <f>'1'!$AI$2</f>
        <v>44677</v>
      </c>
      <c r="AJ36" s="201"/>
      <c r="AK36" s="201"/>
      <c r="AL36" s="201"/>
      <c r="AM36" s="201"/>
      <c r="AN36" s="201"/>
      <c r="AO36" s="201"/>
      <c r="AP36" s="201"/>
      <c r="AQ36" s="201"/>
      <c r="AR36" s="15">
        <f>AR35+1</f>
        <v>2</v>
      </c>
    </row>
    <row r="37" spans="1:48" ht="18.75" customHeight="1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5">
        <f t="shared" ref="AR37:AR68" si="1">AR36+1</f>
        <v>3</v>
      </c>
    </row>
    <row r="38" spans="1:48" ht="18.75" customHeight="1">
      <c r="A38" s="199" t="str">
        <f>INDEX(送付先一覧!A:O,MATCH(AV38,送付先一覧!A:A,0),4)</f>
        <v>特定非営利活動法人自閉症ピアリンクセンターここねっと</v>
      </c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5">
        <f t="shared" si="1"/>
        <v>4</v>
      </c>
      <c r="AV38" s="65">
        <f>AV4+1</f>
        <v>42</v>
      </c>
    </row>
    <row r="39" spans="1:48" ht="18.75" customHeight="1">
      <c r="A39" s="202" t="str">
        <f>INDEX(送付先一覧!A:O,MATCH(AV38,送付先一覧!A:A,0),5)</f>
        <v>理事長　涌澤　圭介</v>
      </c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15">
        <f t="shared" si="1"/>
        <v>5</v>
      </c>
    </row>
    <row r="40" spans="1:48" ht="18.75" customHeight="1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5">
        <f t="shared" si="1"/>
        <v>6</v>
      </c>
    </row>
    <row r="41" spans="1:48" ht="18.75" customHeight="1">
      <c r="V41" s="199" t="str">
        <f>'1'!$V$7</f>
        <v>仙台市健康福祉局障害福祉部障害企画課長　　</v>
      </c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5">
        <f t="shared" si="1"/>
        <v>7</v>
      </c>
    </row>
    <row r="42" spans="1:48" ht="18.75" customHeight="1">
      <c r="V42" s="199" t="str">
        <f>'1'!$V$8</f>
        <v>仙台市健康福祉局障害福祉部障害者支援課長　</v>
      </c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5">
        <f t="shared" si="1"/>
        <v>8</v>
      </c>
    </row>
    <row r="43" spans="1:48" ht="18.75" customHeight="1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5">
        <f t="shared" si="1"/>
        <v>9</v>
      </c>
    </row>
    <row r="44" spans="1:48" ht="22.5" customHeight="1">
      <c r="A44" s="203" t="str">
        <f>'1'!$A$10</f>
        <v>令和４年度仙台市障害福祉分野のICT導入モデル事業補助金の内示について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15">
        <f t="shared" si="1"/>
        <v>10</v>
      </c>
    </row>
    <row r="45" spans="1:48" ht="18.75" customHeight="1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5">
        <f t="shared" si="1"/>
        <v>11</v>
      </c>
    </row>
    <row r="46" spans="1:48" ht="93.75" customHeight="1">
      <c r="A46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15">
        <f t="shared" si="1"/>
        <v>12</v>
      </c>
    </row>
    <row r="47" spans="1:48" ht="18.75" customHeight="1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5">
        <f t="shared" si="1"/>
        <v>13</v>
      </c>
    </row>
    <row r="48" spans="1:48" ht="18.75" customHeight="1">
      <c r="A48" s="197" t="str">
        <f>'1'!$A$14</f>
        <v>記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5">
        <f t="shared" si="1"/>
        <v>14</v>
      </c>
    </row>
    <row r="49" spans="1:44" ht="18.75" customHeight="1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5">
        <f t="shared" si="1"/>
        <v>15</v>
      </c>
    </row>
    <row r="50" spans="1:44" ht="18.75" customHeight="1">
      <c r="I50" s="199" t="str">
        <f>'1'!$I$16</f>
        <v>補助内示額</v>
      </c>
      <c r="J50" s="199"/>
      <c r="K50" s="199"/>
      <c r="L50" s="199"/>
      <c r="M50" s="199"/>
      <c r="N50" s="199"/>
      <c r="S50" s="206">
        <f>INDEX(送付先一覧!A:O,MATCH(AV38,送付先一覧!A:A,0),12)</f>
        <v>220000</v>
      </c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199"/>
      <c r="AG50" s="199"/>
      <c r="AH50" s="199"/>
      <c r="AI50" s="199"/>
      <c r="AR50" s="15">
        <f t="shared" si="1"/>
        <v>16</v>
      </c>
    </row>
    <row r="51" spans="1:44" ht="18.75" customHeight="1">
      <c r="I51" s="199" t="str">
        <f>'1'!$I$17</f>
        <v>事業種別</v>
      </c>
      <c r="J51" s="199"/>
      <c r="K51" s="199"/>
      <c r="L51" s="199"/>
      <c r="M51" s="199"/>
      <c r="N51" s="199"/>
      <c r="O51" s="199"/>
      <c r="P51" s="199"/>
      <c r="Q51" s="199"/>
      <c r="R51" s="199"/>
      <c r="S51" s="199" t="str">
        <f>INDEX(送付先一覧!A:O,MATCH(AV38,送付先一覧!A:A,0),9)</f>
        <v>放課後等デイサービス</v>
      </c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R51" s="15">
        <f t="shared" si="1"/>
        <v>17</v>
      </c>
    </row>
    <row r="52" spans="1:44" ht="18.75" customHeight="1">
      <c r="I52" s="199" t="str">
        <f>'1'!$I$18</f>
        <v>事業所名</v>
      </c>
      <c r="J52" s="199"/>
      <c r="K52" s="199"/>
      <c r="L52" s="199"/>
      <c r="M52" s="199"/>
      <c r="N52" s="199"/>
      <c r="O52" s="199"/>
      <c r="P52" s="199"/>
      <c r="Q52" s="199"/>
      <c r="R52" s="199"/>
      <c r="S52" s="204" t="str">
        <f>INDEX(送付先一覧!A:O,MATCH(AV38,送付先一覧!A:A,0),8)</f>
        <v>あゆみ</v>
      </c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/>
      <c r="AO52" s="204"/>
      <c r="AP52" s="204"/>
      <c r="AQ52" s="204"/>
      <c r="AR52" s="15">
        <f t="shared" si="1"/>
        <v>18</v>
      </c>
    </row>
    <row r="53" spans="1:44" ht="18.75" customHeight="1"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15">
        <f t="shared" si="1"/>
        <v>19</v>
      </c>
    </row>
    <row r="54" spans="1:44" ht="18.75" customHeight="1"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198"/>
      <c r="AR54" s="15">
        <f t="shared" si="1"/>
        <v>20</v>
      </c>
    </row>
    <row r="55" spans="1:44" ht="18.75" customHeight="1">
      <c r="A55" s="198"/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198"/>
      <c r="AM55" s="198"/>
      <c r="AN55" s="198"/>
      <c r="AO55" s="198"/>
      <c r="AP55" s="198"/>
      <c r="AQ55" s="198"/>
      <c r="AR55" s="15">
        <f t="shared" si="1"/>
        <v>21</v>
      </c>
    </row>
    <row r="56" spans="1:44" ht="18.75" customHeight="1">
      <c r="A56" s="198"/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5">
        <f t="shared" si="1"/>
        <v>22</v>
      </c>
    </row>
    <row r="57" spans="1:44" ht="18.75" customHeight="1">
      <c r="A57" s="198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5">
        <f t="shared" si="1"/>
        <v>23</v>
      </c>
    </row>
    <row r="58" spans="1:44" ht="18.75" customHeight="1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5">
        <f t="shared" si="1"/>
        <v>24</v>
      </c>
    </row>
    <row r="59" spans="1:44" ht="18.75" customHeight="1">
      <c r="A59" s="198"/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5">
        <f t="shared" si="1"/>
        <v>25</v>
      </c>
    </row>
    <row r="60" spans="1:44" ht="18.75" customHeight="1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5">
        <f t="shared" si="1"/>
        <v>26</v>
      </c>
    </row>
    <row r="61" spans="1:44" ht="18.75" customHeight="1">
      <c r="A61" s="198"/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5">
        <f t="shared" si="1"/>
        <v>27</v>
      </c>
    </row>
    <row r="62" spans="1:44" ht="18.75" customHeight="1">
      <c r="A62" s="198"/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5">
        <f t="shared" si="1"/>
        <v>28</v>
      </c>
    </row>
    <row r="63" spans="1:44" ht="18.75" customHeight="1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5">
        <f t="shared" si="1"/>
        <v>29</v>
      </c>
    </row>
    <row r="64" spans="1:44" ht="18.75" customHeight="1">
      <c r="A64" s="198"/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5">
        <f t="shared" si="1"/>
        <v>30</v>
      </c>
    </row>
    <row r="65" spans="1:48" ht="18.75" customHeight="1">
      <c r="A65" s="198"/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5">
        <f t="shared" si="1"/>
        <v>31</v>
      </c>
    </row>
    <row r="66" spans="1:48" ht="18.75" customHeight="1">
      <c r="A66" s="198"/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5">
        <f t="shared" si="1"/>
        <v>32</v>
      </c>
    </row>
    <row r="67" spans="1:48" ht="18.75" customHeight="1">
      <c r="A67" s="198"/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5">
        <f t="shared" si="1"/>
        <v>33</v>
      </c>
    </row>
    <row r="68" spans="1:48" ht="18.75" customHeight="1">
      <c r="A68" s="198"/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5">
        <f t="shared" si="1"/>
        <v>34</v>
      </c>
    </row>
    <row r="69" spans="1:48" ht="16.5" customHeight="1">
      <c r="A69" s="197"/>
      <c r="B69" s="197"/>
      <c r="AI69" s="200" t="str">
        <f>'1'!$AI$1</f>
        <v>R4健障障第100号</v>
      </c>
      <c r="AJ69" s="200"/>
      <c r="AK69" s="200"/>
      <c r="AL69" s="200"/>
      <c r="AM69" s="200"/>
      <c r="AN69" s="200"/>
      <c r="AO69" s="200"/>
      <c r="AP69" s="200"/>
      <c r="AQ69" s="200"/>
      <c r="AR69" s="15">
        <v>1</v>
      </c>
    </row>
    <row r="70" spans="1:48" ht="16.5" customHeight="1">
      <c r="A70" s="197"/>
      <c r="B70" s="197"/>
      <c r="AI70" s="201">
        <f>'1'!$AI$2</f>
        <v>44677</v>
      </c>
      <c r="AJ70" s="201"/>
      <c r="AK70" s="201"/>
      <c r="AL70" s="201"/>
      <c r="AM70" s="201"/>
      <c r="AN70" s="201"/>
      <c r="AO70" s="201"/>
      <c r="AP70" s="201"/>
      <c r="AQ70" s="201"/>
      <c r="AR70" s="15">
        <f>AR69+1</f>
        <v>2</v>
      </c>
    </row>
    <row r="71" spans="1:48" ht="18.75" customHeight="1">
      <c r="A71" s="198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5">
        <f t="shared" ref="AR71:AR102" si="2">AR70+1</f>
        <v>3</v>
      </c>
    </row>
    <row r="72" spans="1:48" ht="18.75" customHeight="1">
      <c r="A72" s="199" t="str">
        <f>INDEX(送付先一覧!A:O,MATCH(AV72,送付先一覧!A:A,0),4)</f>
        <v>特定非営利活動法人自閉症ピアリンクセンターここねっと</v>
      </c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5">
        <f t="shared" si="2"/>
        <v>4</v>
      </c>
      <c r="AV72" s="65">
        <f>AV38+1</f>
        <v>43</v>
      </c>
    </row>
    <row r="73" spans="1:48" ht="18.75" customHeight="1">
      <c r="A73" s="202" t="str">
        <f>INDEX(送付先一覧!A:O,MATCH(AV72,送付先一覧!A:A,0),5)</f>
        <v>理事長　涌澤　圭介</v>
      </c>
      <c r="B73" s="202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202"/>
      <c r="AD73" s="202"/>
      <c r="AE73" s="202"/>
      <c r="AF73" s="202"/>
      <c r="AG73" s="202"/>
      <c r="AH73" s="202"/>
      <c r="AI73" s="202"/>
      <c r="AJ73" s="202"/>
      <c r="AK73" s="202"/>
      <c r="AL73" s="202"/>
      <c r="AM73" s="202"/>
      <c r="AN73" s="202"/>
      <c r="AO73" s="202"/>
      <c r="AP73" s="202"/>
      <c r="AQ73" s="202"/>
      <c r="AR73" s="15">
        <f t="shared" si="2"/>
        <v>5</v>
      </c>
    </row>
    <row r="74" spans="1:48" ht="18.75" customHeight="1">
      <c r="A74" s="198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8"/>
      <c r="AQ74" s="198"/>
      <c r="AR74" s="15">
        <f t="shared" si="2"/>
        <v>6</v>
      </c>
    </row>
    <row r="75" spans="1:48" ht="18.75" customHeight="1">
      <c r="V75" s="199" t="str">
        <f>'1'!$V$7</f>
        <v>仙台市健康福祉局障害福祉部障害企画課長　　</v>
      </c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5">
        <f t="shared" si="2"/>
        <v>7</v>
      </c>
    </row>
    <row r="76" spans="1:48" ht="18.75" customHeight="1">
      <c r="V76" s="199" t="str">
        <f>'1'!$V$8</f>
        <v>仙台市健康福祉局障害福祉部障害者支援課長　</v>
      </c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5">
        <f t="shared" si="2"/>
        <v>8</v>
      </c>
    </row>
    <row r="77" spans="1:48" ht="18.75" customHeight="1">
      <c r="A77" s="198"/>
      <c r="B77" s="198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5">
        <f t="shared" si="2"/>
        <v>9</v>
      </c>
    </row>
    <row r="78" spans="1:48" ht="22.5" customHeight="1">
      <c r="A78" s="203" t="str">
        <f>'1'!$A$10</f>
        <v>令和４年度仙台市障害福祉分野のICT導入モデル事業補助金の内示について</v>
      </c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15">
        <f t="shared" si="2"/>
        <v>10</v>
      </c>
    </row>
    <row r="79" spans="1:48" ht="18.75" customHeight="1">
      <c r="A79" s="198"/>
      <c r="B79" s="198"/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5">
        <f t="shared" si="2"/>
        <v>11</v>
      </c>
    </row>
    <row r="80" spans="1:48" ht="93.75" customHeight="1">
      <c r="A80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80" s="205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5">
        <f t="shared" si="2"/>
        <v>12</v>
      </c>
    </row>
    <row r="81" spans="1:44" ht="18.75" customHeight="1">
      <c r="A81" s="198"/>
      <c r="B81" s="198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5">
        <f t="shared" si="2"/>
        <v>13</v>
      </c>
    </row>
    <row r="82" spans="1:44" ht="18.75" customHeight="1">
      <c r="A82" s="197" t="str">
        <f>'1'!$A$14</f>
        <v>記</v>
      </c>
      <c r="B82" s="197"/>
      <c r="C82" s="197"/>
      <c r="D82" s="197"/>
      <c r="E82" s="197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5">
        <f t="shared" si="2"/>
        <v>14</v>
      </c>
    </row>
    <row r="83" spans="1:44" ht="18.75" customHeight="1">
      <c r="A83" s="198"/>
      <c r="B83" s="198"/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5">
        <f t="shared" si="2"/>
        <v>15</v>
      </c>
    </row>
    <row r="84" spans="1:44" ht="18.75" customHeight="1">
      <c r="I84" s="199" t="str">
        <f>'1'!$I$16</f>
        <v>補助内示額</v>
      </c>
      <c r="J84" s="199"/>
      <c r="K84" s="199"/>
      <c r="L84" s="199"/>
      <c r="M84" s="199"/>
      <c r="N84" s="199"/>
      <c r="S84" s="206">
        <f>INDEX(送付先一覧!A:O,MATCH(AV72,送付先一覧!A:A,0),12)</f>
        <v>155000</v>
      </c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199"/>
      <c r="AG84" s="199"/>
      <c r="AH84" s="199"/>
      <c r="AI84" s="199"/>
      <c r="AR84" s="15">
        <f t="shared" si="2"/>
        <v>16</v>
      </c>
    </row>
    <row r="85" spans="1:44" ht="18.75" customHeight="1">
      <c r="I85" s="199" t="str">
        <f>'1'!$I$17</f>
        <v>事業種別</v>
      </c>
      <c r="J85" s="199"/>
      <c r="K85" s="199"/>
      <c r="L85" s="199"/>
      <c r="M85" s="199"/>
      <c r="N85" s="199"/>
      <c r="O85" s="199"/>
      <c r="P85" s="199"/>
      <c r="Q85" s="199"/>
      <c r="R85" s="199"/>
      <c r="S85" s="199" t="str">
        <f>INDEX(送付先一覧!A:O,MATCH(AV72,送付先一覧!A:A,0),9)</f>
        <v>放課後等デイサービス</v>
      </c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R85" s="15">
        <f t="shared" si="2"/>
        <v>17</v>
      </c>
    </row>
    <row r="86" spans="1:44" ht="18.75" customHeight="1">
      <c r="I86" s="199" t="str">
        <f>'1'!$I$18</f>
        <v>事業所名</v>
      </c>
      <c r="J86" s="199"/>
      <c r="K86" s="199"/>
      <c r="L86" s="199"/>
      <c r="M86" s="199"/>
      <c r="N86" s="199"/>
      <c r="O86" s="199"/>
      <c r="P86" s="199"/>
      <c r="Q86" s="199"/>
      <c r="R86" s="199"/>
      <c r="S86" s="204" t="str">
        <f>INDEX(送付先一覧!A:O,MATCH(AV72,送付先一覧!A:A,0),8)</f>
        <v>みのり</v>
      </c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15">
        <f t="shared" si="2"/>
        <v>18</v>
      </c>
    </row>
    <row r="87" spans="1:44" ht="18.75" customHeight="1">
      <c r="I87" s="198"/>
      <c r="J87" s="198"/>
      <c r="K87" s="198"/>
      <c r="L87" s="198"/>
      <c r="M87" s="198"/>
      <c r="N87" s="198"/>
      <c r="O87" s="198"/>
      <c r="P87" s="198"/>
      <c r="Q87" s="198"/>
      <c r="R87" s="198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15">
        <f t="shared" si="2"/>
        <v>19</v>
      </c>
    </row>
    <row r="88" spans="1:44" ht="18.75" customHeight="1">
      <c r="I88" s="198"/>
      <c r="J88" s="198"/>
      <c r="K88" s="198"/>
      <c r="L88" s="198"/>
      <c r="M88" s="198"/>
      <c r="N88" s="198"/>
      <c r="O88" s="198"/>
      <c r="P88" s="198"/>
      <c r="Q88" s="198"/>
      <c r="R88" s="198"/>
      <c r="S88" s="198"/>
      <c r="T88" s="198"/>
      <c r="U88" s="198"/>
      <c r="V88" s="198"/>
      <c r="W88" s="198"/>
      <c r="X88" s="198"/>
      <c r="Y88" s="198"/>
      <c r="Z88" s="198"/>
      <c r="AA88" s="198"/>
      <c r="AB88" s="198"/>
      <c r="AC88" s="198"/>
      <c r="AD88" s="198"/>
      <c r="AE88" s="198"/>
      <c r="AF88" s="198"/>
      <c r="AG88" s="198"/>
      <c r="AH88" s="198"/>
      <c r="AI88" s="198"/>
      <c r="AR88" s="15">
        <f t="shared" si="2"/>
        <v>20</v>
      </c>
    </row>
    <row r="89" spans="1:44" ht="18.75" customHeight="1">
      <c r="A89" s="198"/>
      <c r="B89" s="198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198"/>
      <c r="Q89" s="198"/>
      <c r="R89" s="198"/>
      <c r="S89" s="198"/>
      <c r="T89" s="198"/>
      <c r="U89" s="198"/>
      <c r="V89" s="198"/>
      <c r="W89" s="198"/>
      <c r="X89" s="198"/>
      <c r="Y89" s="198"/>
      <c r="Z89" s="198"/>
      <c r="AA89" s="198"/>
      <c r="AB89" s="198"/>
      <c r="AC89" s="198"/>
      <c r="AD89" s="198"/>
      <c r="AE89" s="198"/>
      <c r="AF89" s="198"/>
      <c r="AG89" s="198"/>
      <c r="AH89" s="198"/>
      <c r="AI89" s="198"/>
      <c r="AJ89" s="198"/>
      <c r="AK89" s="198"/>
      <c r="AL89" s="198"/>
      <c r="AM89" s="198"/>
      <c r="AN89" s="198"/>
      <c r="AO89" s="198"/>
      <c r="AP89" s="198"/>
      <c r="AQ89" s="198"/>
      <c r="AR89" s="15">
        <f t="shared" si="2"/>
        <v>21</v>
      </c>
    </row>
    <row r="90" spans="1:44" ht="18.75" customHeight="1">
      <c r="A90" s="198"/>
      <c r="B90" s="198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  <c r="AA90" s="198"/>
      <c r="AB90" s="198"/>
      <c r="AC90" s="198"/>
      <c r="AD90" s="198"/>
      <c r="AE90" s="198"/>
      <c r="AF90" s="198"/>
      <c r="AG90" s="198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5">
        <f t="shared" si="2"/>
        <v>22</v>
      </c>
    </row>
    <row r="91" spans="1:44" ht="18.75" customHeight="1">
      <c r="A91" s="198"/>
      <c r="B91" s="198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8"/>
      <c r="Q91" s="198"/>
      <c r="R91" s="198"/>
      <c r="S91" s="198"/>
      <c r="T91" s="198"/>
      <c r="U91" s="198"/>
      <c r="V91" s="198"/>
      <c r="W91" s="198"/>
      <c r="X91" s="198"/>
      <c r="Y91" s="198"/>
      <c r="Z91" s="198"/>
      <c r="AA91" s="198"/>
      <c r="AB91" s="198"/>
      <c r="AC91" s="198"/>
      <c r="AD91" s="198"/>
      <c r="AE91" s="198"/>
      <c r="AF91" s="198"/>
      <c r="AG91" s="198"/>
      <c r="AH91" s="198"/>
      <c r="AI91" s="198"/>
      <c r="AJ91" s="198"/>
      <c r="AK91" s="198"/>
      <c r="AL91" s="198"/>
      <c r="AM91" s="198"/>
      <c r="AN91" s="198"/>
      <c r="AO91" s="198"/>
      <c r="AP91" s="198"/>
      <c r="AQ91" s="198"/>
      <c r="AR91" s="15">
        <f t="shared" si="2"/>
        <v>23</v>
      </c>
    </row>
    <row r="92" spans="1:44" ht="18.75" customHeight="1">
      <c r="A92" s="198"/>
      <c r="B92" s="198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198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5">
        <f t="shared" si="2"/>
        <v>24</v>
      </c>
    </row>
    <row r="93" spans="1:44" ht="18.75" customHeight="1">
      <c r="A93" s="198"/>
      <c r="B93" s="198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198"/>
      <c r="Y93" s="198"/>
      <c r="Z93" s="198"/>
      <c r="AA93" s="198"/>
      <c r="AB93" s="198"/>
      <c r="AC93" s="198"/>
      <c r="AD93" s="198"/>
      <c r="AE93" s="198"/>
      <c r="AF93" s="198"/>
      <c r="AG93" s="198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5">
        <f t="shared" si="2"/>
        <v>25</v>
      </c>
    </row>
    <row r="94" spans="1:44" ht="18.75" customHeight="1">
      <c r="A94" s="198"/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98"/>
      <c r="AE94" s="198"/>
      <c r="AF94" s="198"/>
      <c r="AG94" s="198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5">
        <f t="shared" si="2"/>
        <v>26</v>
      </c>
    </row>
    <row r="95" spans="1:44" ht="18.75" customHeight="1">
      <c r="A95" s="198"/>
      <c r="B95" s="198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8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5">
        <f t="shared" si="2"/>
        <v>27</v>
      </c>
    </row>
    <row r="96" spans="1:44" ht="18.75" customHeight="1">
      <c r="A96" s="198"/>
      <c r="B96" s="198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5">
        <f t="shared" si="2"/>
        <v>28</v>
      </c>
    </row>
    <row r="97" spans="1:48" ht="18.75" customHeight="1">
      <c r="A97" s="198"/>
      <c r="B97" s="198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198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5">
        <f t="shared" si="2"/>
        <v>29</v>
      </c>
    </row>
    <row r="98" spans="1:48" ht="18.75" customHeight="1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5">
        <f t="shared" si="2"/>
        <v>30</v>
      </c>
    </row>
    <row r="99" spans="1:48" ht="18.75" customHeight="1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5">
        <f t="shared" si="2"/>
        <v>31</v>
      </c>
    </row>
    <row r="100" spans="1:48" ht="18.75" customHeight="1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5">
        <f t="shared" si="2"/>
        <v>32</v>
      </c>
    </row>
    <row r="101" spans="1:48" ht="18.75" customHeight="1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5">
        <f t="shared" si="2"/>
        <v>33</v>
      </c>
    </row>
    <row r="102" spans="1:48" ht="18.75" customHeight="1">
      <c r="A102" s="198"/>
      <c r="B102" s="198"/>
      <c r="C102" s="198"/>
      <c r="D102" s="198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5">
        <f t="shared" si="2"/>
        <v>34</v>
      </c>
    </row>
    <row r="103" spans="1:48" ht="16.5" customHeight="1">
      <c r="A103" s="197"/>
      <c r="B103" s="197"/>
      <c r="AI103" s="200" t="str">
        <f>'1'!$AI$1</f>
        <v>R4健障障第100号</v>
      </c>
      <c r="AJ103" s="200"/>
      <c r="AK103" s="200"/>
      <c r="AL103" s="200"/>
      <c r="AM103" s="200"/>
      <c r="AN103" s="200"/>
      <c r="AO103" s="200"/>
      <c r="AP103" s="200"/>
      <c r="AQ103" s="200"/>
      <c r="AR103" s="15">
        <v>1</v>
      </c>
    </row>
    <row r="104" spans="1:48" ht="16.5" customHeight="1">
      <c r="A104" s="197"/>
      <c r="B104" s="197"/>
      <c r="AI104" s="201">
        <f>'1'!$AI$2</f>
        <v>44677</v>
      </c>
      <c r="AJ104" s="201"/>
      <c r="AK104" s="201"/>
      <c r="AL104" s="201"/>
      <c r="AM104" s="201"/>
      <c r="AN104" s="201"/>
      <c r="AO104" s="201"/>
      <c r="AP104" s="201"/>
      <c r="AQ104" s="201"/>
      <c r="AR104" s="15">
        <f>AR103+1</f>
        <v>2</v>
      </c>
    </row>
    <row r="105" spans="1:48" ht="18.75" customHeight="1">
      <c r="A105" s="198"/>
      <c r="B105" s="198"/>
      <c r="C105" s="198"/>
      <c r="D105" s="198"/>
      <c r="E105" s="198"/>
      <c r="F105" s="198"/>
      <c r="G105" s="198"/>
      <c r="H105" s="198"/>
      <c r="I105" s="198"/>
      <c r="J105" s="198"/>
      <c r="K105" s="198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98"/>
      <c r="AE105" s="198"/>
      <c r="AF105" s="198"/>
      <c r="AG105" s="198"/>
      <c r="AH105" s="198"/>
      <c r="AI105" s="198"/>
      <c r="AJ105" s="198"/>
      <c r="AK105" s="198"/>
      <c r="AL105" s="198"/>
      <c r="AM105" s="198"/>
      <c r="AN105" s="198"/>
      <c r="AO105" s="198"/>
      <c r="AP105" s="198"/>
      <c r="AQ105" s="198"/>
      <c r="AR105" s="15">
        <f t="shared" ref="AR105:AR136" si="3">AR104+1</f>
        <v>3</v>
      </c>
    </row>
    <row r="106" spans="1:48" ht="18.75" customHeight="1">
      <c r="A106" s="199" t="str">
        <f>INDEX(送付先一覧!A:O,MATCH(AV106,送付先一覧!A:A,0),4)</f>
        <v>特定非営利活動法人自閉症ピアリンクセンターここねっと</v>
      </c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199"/>
      <c r="AL106" s="199"/>
      <c r="AM106" s="199"/>
      <c r="AN106" s="199"/>
      <c r="AO106" s="199"/>
      <c r="AP106" s="199"/>
      <c r="AQ106" s="199"/>
      <c r="AR106" s="15">
        <f t="shared" si="3"/>
        <v>4</v>
      </c>
      <c r="AV106" s="65">
        <f>AV72+1</f>
        <v>44</v>
      </c>
    </row>
    <row r="107" spans="1:48" ht="18.75" customHeight="1">
      <c r="A107" s="202" t="str">
        <f>INDEX(送付先一覧!A:O,MATCH(AV106,送付先一覧!A:A,0),5)</f>
        <v>理事長　涌澤　圭介</v>
      </c>
      <c r="B107" s="202"/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  <c r="AM107" s="202"/>
      <c r="AN107" s="202"/>
      <c r="AO107" s="202"/>
      <c r="AP107" s="202"/>
      <c r="AQ107" s="202"/>
      <c r="AR107" s="15">
        <f t="shared" si="3"/>
        <v>5</v>
      </c>
    </row>
    <row r="108" spans="1:48" ht="18.75" customHeight="1">
      <c r="A108" s="198"/>
      <c r="B108" s="198"/>
      <c r="C108" s="198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98"/>
      <c r="AE108" s="198"/>
      <c r="AF108" s="198"/>
      <c r="AG108" s="198"/>
      <c r="AH108" s="198"/>
      <c r="AI108" s="198"/>
      <c r="AJ108" s="198"/>
      <c r="AK108" s="198"/>
      <c r="AL108" s="198"/>
      <c r="AM108" s="198"/>
      <c r="AN108" s="198"/>
      <c r="AO108" s="198"/>
      <c r="AP108" s="198"/>
      <c r="AQ108" s="198"/>
      <c r="AR108" s="15">
        <f t="shared" si="3"/>
        <v>6</v>
      </c>
    </row>
    <row r="109" spans="1:48" ht="18.75" customHeight="1">
      <c r="V109" s="199" t="str">
        <f>'1'!$V$7</f>
        <v>仙台市健康福祉局障害福祉部障害企画課長　　</v>
      </c>
      <c r="W109" s="199"/>
      <c r="X109" s="199"/>
      <c r="Y109" s="199"/>
      <c r="Z109" s="199"/>
      <c r="AA109" s="199"/>
      <c r="AB109" s="199"/>
      <c r="AC109" s="199"/>
      <c r="AD109" s="199"/>
      <c r="AE109" s="199"/>
      <c r="AF109" s="199"/>
      <c r="AG109" s="199"/>
      <c r="AH109" s="199"/>
      <c r="AI109" s="199"/>
      <c r="AJ109" s="199"/>
      <c r="AK109" s="199"/>
      <c r="AL109" s="199"/>
      <c r="AM109" s="199"/>
      <c r="AN109" s="199"/>
      <c r="AO109" s="199"/>
      <c r="AP109" s="199"/>
      <c r="AQ109" s="199"/>
      <c r="AR109" s="15">
        <f t="shared" si="3"/>
        <v>7</v>
      </c>
    </row>
    <row r="110" spans="1:48" ht="18.75" customHeight="1">
      <c r="V110" s="199" t="str">
        <f>'1'!$V$8</f>
        <v>仙台市健康福祉局障害福祉部障害者支援課長　</v>
      </c>
      <c r="W110" s="199"/>
      <c r="X110" s="199"/>
      <c r="Y110" s="199"/>
      <c r="Z110" s="199"/>
      <c r="AA110" s="199"/>
      <c r="AB110" s="199"/>
      <c r="AC110" s="199"/>
      <c r="AD110" s="199"/>
      <c r="AE110" s="199"/>
      <c r="AF110" s="199"/>
      <c r="AG110" s="199"/>
      <c r="AH110" s="199"/>
      <c r="AI110" s="199"/>
      <c r="AJ110" s="199"/>
      <c r="AK110" s="199"/>
      <c r="AL110" s="199"/>
      <c r="AM110" s="199"/>
      <c r="AN110" s="199"/>
      <c r="AO110" s="199"/>
      <c r="AP110" s="199"/>
      <c r="AQ110" s="199"/>
      <c r="AR110" s="15">
        <f t="shared" si="3"/>
        <v>8</v>
      </c>
    </row>
    <row r="111" spans="1:48" ht="18.75" customHeight="1">
      <c r="A111" s="198"/>
      <c r="B111" s="198"/>
      <c r="C111" s="198"/>
      <c r="D111" s="198"/>
      <c r="E111" s="198"/>
      <c r="F111" s="198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98"/>
      <c r="AE111" s="198"/>
      <c r="AF111" s="198"/>
      <c r="AG111" s="198"/>
      <c r="AH111" s="198"/>
      <c r="AI111" s="198"/>
      <c r="AJ111" s="198"/>
      <c r="AK111" s="198"/>
      <c r="AL111" s="198"/>
      <c r="AM111" s="198"/>
      <c r="AN111" s="198"/>
      <c r="AO111" s="198"/>
      <c r="AP111" s="198"/>
      <c r="AQ111" s="198"/>
      <c r="AR111" s="15">
        <f t="shared" si="3"/>
        <v>9</v>
      </c>
    </row>
    <row r="112" spans="1:48" ht="22.5" customHeight="1">
      <c r="A112" s="203" t="str">
        <f>'1'!$A$10</f>
        <v>令和４年度仙台市障害福祉分野のICT導入モデル事業補助金の内示について</v>
      </c>
      <c r="B112" s="203"/>
      <c r="C112" s="203"/>
      <c r="D112" s="203"/>
      <c r="E112" s="203"/>
      <c r="F112" s="203"/>
      <c r="G112" s="203"/>
      <c r="H112" s="203"/>
      <c r="I112" s="203"/>
      <c r="J112" s="203"/>
      <c r="K112" s="203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203"/>
      <c r="W112" s="203"/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I112" s="203"/>
      <c r="AJ112" s="203"/>
      <c r="AK112" s="203"/>
      <c r="AL112" s="203"/>
      <c r="AM112" s="203"/>
      <c r="AN112" s="203"/>
      <c r="AO112" s="203"/>
      <c r="AP112" s="203"/>
      <c r="AQ112" s="203"/>
      <c r="AR112" s="15">
        <f t="shared" si="3"/>
        <v>10</v>
      </c>
    </row>
    <row r="113" spans="1:44" ht="18.75" customHeight="1">
      <c r="A113" s="198"/>
      <c r="B113" s="198"/>
      <c r="C113" s="198"/>
      <c r="D113" s="198"/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98"/>
      <c r="AE113" s="198"/>
      <c r="AF113" s="198"/>
      <c r="AG113" s="198"/>
      <c r="AH113" s="198"/>
      <c r="AI113" s="198"/>
      <c r="AJ113" s="198"/>
      <c r="AK113" s="198"/>
      <c r="AL113" s="198"/>
      <c r="AM113" s="198"/>
      <c r="AN113" s="198"/>
      <c r="AO113" s="198"/>
      <c r="AP113" s="198"/>
      <c r="AQ113" s="198"/>
      <c r="AR113" s="15">
        <f t="shared" si="3"/>
        <v>11</v>
      </c>
    </row>
    <row r="114" spans="1:44" ht="93.75" customHeight="1">
      <c r="A114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14" s="205"/>
      <c r="C114" s="205"/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5"/>
      <c r="AE114" s="205"/>
      <c r="AF114" s="205"/>
      <c r="AG114" s="205"/>
      <c r="AH114" s="205"/>
      <c r="AI114" s="205"/>
      <c r="AJ114" s="205"/>
      <c r="AK114" s="205"/>
      <c r="AL114" s="205"/>
      <c r="AM114" s="205"/>
      <c r="AN114" s="205"/>
      <c r="AO114" s="205"/>
      <c r="AP114" s="205"/>
      <c r="AQ114" s="205"/>
      <c r="AR114" s="15">
        <f t="shared" si="3"/>
        <v>12</v>
      </c>
    </row>
    <row r="115" spans="1:44" ht="18.75" customHeight="1">
      <c r="A115" s="198"/>
      <c r="B115" s="198"/>
      <c r="C115" s="198"/>
      <c r="D115" s="198"/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5">
        <f t="shared" si="3"/>
        <v>13</v>
      </c>
    </row>
    <row r="116" spans="1:44" ht="18.75" customHeight="1">
      <c r="A116" s="197" t="str">
        <f>'1'!$A$14</f>
        <v>記</v>
      </c>
      <c r="B116" s="197"/>
      <c r="C116" s="197"/>
      <c r="D116" s="197"/>
      <c r="E116" s="197"/>
      <c r="F116" s="197"/>
      <c r="G116" s="197"/>
      <c r="H116" s="197"/>
      <c r="I116" s="197"/>
      <c r="J116" s="197"/>
      <c r="K116" s="197"/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/>
      <c r="AF116" s="197"/>
      <c r="AG116" s="197"/>
      <c r="AH116" s="197"/>
      <c r="AI116" s="197"/>
      <c r="AJ116" s="197"/>
      <c r="AK116" s="197"/>
      <c r="AL116" s="197"/>
      <c r="AM116" s="197"/>
      <c r="AN116" s="197"/>
      <c r="AO116" s="197"/>
      <c r="AP116" s="197"/>
      <c r="AQ116" s="197"/>
      <c r="AR116" s="15">
        <f t="shared" si="3"/>
        <v>14</v>
      </c>
    </row>
    <row r="117" spans="1:44" ht="18.75" customHeight="1">
      <c r="A117" s="198"/>
      <c r="B117" s="198"/>
      <c r="C117" s="198"/>
      <c r="D117" s="198"/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5">
        <f t="shared" si="3"/>
        <v>15</v>
      </c>
    </row>
    <row r="118" spans="1:44" ht="18.75" customHeight="1">
      <c r="I118" s="199" t="str">
        <f>'1'!$I$16</f>
        <v>補助内示額</v>
      </c>
      <c r="J118" s="199"/>
      <c r="K118" s="199"/>
      <c r="L118" s="199"/>
      <c r="M118" s="199"/>
      <c r="N118" s="199"/>
      <c r="S118" s="206">
        <f>INDEX(送付先一覧!A:O,MATCH(AV106,送付先一覧!A:A,0),12)</f>
        <v>187000</v>
      </c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199"/>
      <c r="AG118" s="199"/>
      <c r="AH118" s="199"/>
      <c r="AI118" s="199"/>
      <c r="AR118" s="15">
        <f t="shared" si="3"/>
        <v>16</v>
      </c>
    </row>
    <row r="119" spans="1:44" ht="18.75" customHeight="1">
      <c r="I119" s="199" t="str">
        <f>'1'!$I$17</f>
        <v>事業種別</v>
      </c>
      <c r="J119" s="199"/>
      <c r="K119" s="199"/>
      <c r="L119" s="199"/>
      <c r="M119" s="199"/>
      <c r="N119" s="199"/>
      <c r="O119" s="199"/>
      <c r="P119" s="199"/>
      <c r="Q119" s="199"/>
      <c r="R119" s="199"/>
      <c r="S119" s="199" t="str">
        <f>INDEX(送付先一覧!A:O,MATCH(AV106,送付先一覧!A:A,0),9)</f>
        <v>放課後等デイサービス</v>
      </c>
      <c r="T119" s="199"/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  <c r="AO119" s="199"/>
      <c r="AP119" s="199"/>
      <c r="AR119" s="15">
        <f t="shared" si="3"/>
        <v>17</v>
      </c>
    </row>
    <row r="120" spans="1:44" ht="18.75" customHeight="1">
      <c r="I120" s="199" t="str">
        <f>'1'!$I$18</f>
        <v>事業所名</v>
      </c>
      <c r="J120" s="199"/>
      <c r="K120" s="199"/>
      <c r="L120" s="199"/>
      <c r="M120" s="199"/>
      <c r="N120" s="199"/>
      <c r="O120" s="199"/>
      <c r="P120" s="199"/>
      <c r="Q120" s="199"/>
      <c r="R120" s="199"/>
      <c r="S120" s="204" t="str">
        <f>INDEX(送付先一覧!A:O,MATCH(AV106,送付先一覧!A:A,0),8)</f>
        <v>めぐみ</v>
      </c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204"/>
      <c r="AE120" s="204"/>
      <c r="AF120" s="204"/>
      <c r="AG120" s="204"/>
      <c r="AH120" s="204"/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15">
        <f t="shared" si="3"/>
        <v>18</v>
      </c>
    </row>
    <row r="121" spans="1:44" ht="18.75" customHeight="1"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15">
        <f t="shared" si="3"/>
        <v>19</v>
      </c>
    </row>
    <row r="122" spans="1:44" ht="18.75" customHeight="1"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R122" s="15">
        <f t="shared" si="3"/>
        <v>20</v>
      </c>
    </row>
    <row r="123" spans="1:44" ht="18.75" customHeight="1">
      <c r="A123" s="198"/>
      <c r="B123" s="198"/>
      <c r="C123" s="198"/>
      <c r="D123" s="198"/>
      <c r="E123" s="198"/>
      <c r="F123" s="198"/>
      <c r="G123" s="198"/>
      <c r="H123" s="198"/>
      <c r="I123" s="198"/>
      <c r="J123" s="198"/>
      <c r="K123" s="198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8"/>
      <c r="AE123" s="198"/>
      <c r="AF123" s="198"/>
      <c r="AG123" s="198"/>
      <c r="AH123" s="198"/>
      <c r="AI123" s="198"/>
      <c r="AJ123" s="198"/>
      <c r="AK123" s="198"/>
      <c r="AL123" s="198"/>
      <c r="AM123" s="198"/>
      <c r="AN123" s="198"/>
      <c r="AO123" s="198"/>
      <c r="AP123" s="198"/>
      <c r="AQ123" s="198"/>
      <c r="AR123" s="15">
        <f t="shared" si="3"/>
        <v>21</v>
      </c>
    </row>
    <row r="124" spans="1:44" ht="18.75" customHeight="1">
      <c r="A124" s="198"/>
      <c r="B124" s="198"/>
      <c r="C124" s="198"/>
      <c r="D124" s="198"/>
      <c r="E124" s="198"/>
      <c r="F124" s="198"/>
      <c r="G124" s="198"/>
      <c r="H124" s="198"/>
      <c r="I124" s="198"/>
      <c r="J124" s="198"/>
      <c r="K124" s="198"/>
      <c r="L124" s="198"/>
      <c r="M124" s="198"/>
      <c r="N124" s="198"/>
      <c r="O124" s="198"/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98"/>
      <c r="AE124" s="198"/>
      <c r="AF124" s="198"/>
      <c r="AG124" s="198"/>
      <c r="AH124" s="198"/>
      <c r="AI124" s="198"/>
      <c r="AJ124" s="198"/>
      <c r="AK124" s="198"/>
      <c r="AL124" s="198"/>
      <c r="AM124" s="198"/>
      <c r="AN124" s="198"/>
      <c r="AO124" s="198"/>
      <c r="AP124" s="198"/>
      <c r="AQ124" s="198"/>
      <c r="AR124" s="15">
        <f t="shared" si="3"/>
        <v>22</v>
      </c>
    </row>
    <row r="125" spans="1:44" ht="18.75" customHeight="1">
      <c r="A125" s="198"/>
      <c r="B125" s="198"/>
      <c r="C125" s="198"/>
      <c r="D125" s="198"/>
      <c r="E125" s="198"/>
      <c r="F125" s="198"/>
      <c r="G125" s="198"/>
      <c r="H125" s="198"/>
      <c r="I125" s="198"/>
      <c r="J125" s="198"/>
      <c r="K125" s="198"/>
      <c r="L125" s="198"/>
      <c r="M125" s="198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  <c r="AF125" s="198"/>
      <c r="AG125" s="198"/>
      <c r="AH125" s="198"/>
      <c r="AI125" s="198"/>
      <c r="AJ125" s="198"/>
      <c r="AK125" s="198"/>
      <c r="AL125" s="198"/>
      <c r="AM125" s="198"/>
      <c r="AN125" s="198"/>
      <c r="AO125" s="198"/>
      <c r="AP125" s="198"/>
      <c r="AQ125" s="198"/>
      <c r="AR125" s="15">
        <f t="shared" si="3"/>
        <v>23</v>
      </c>
    </row>
    <row r="126" spans="1:44" ht="18.75" customHeight="1">
      <c r="A126" s="198"/>
      <c r="B126" s="198"/>
      <c r="C126" s="198"/>
      <c r="D126" s="198"/>
      <c r="E126" s="198"/>
      <c r="F126" s="198"/>
      <c r="G126" s="198"/>
      <c r="H126" s="198"/>
      <c r="I126" s="198"/>
      <c r="J126" s="198"/>
      <c r="K126" s="198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8"/>
      <c r="AE126" s="198"/>
      <c r="AF126" s="198"/>
      <c r="AG126" s="198"/>
      <c r="AH126" s="198"/>
      <c r="AI126" s="198"/>
      <c r="AJ126" s="198"/>
      <c r="AK126" s="198"/>
      <c r="AL126" s="198"/>
      <c r="AM126" s="198"/>
      <c r="AN126" s="198"/>
      <c r="AO126" s="198"/>
      <c r="AP126" s="198"/>
      <c r="AQ126" s="198"/>
      <c r="AR126" s="15">
        <f t="shared" si="3"/>
        <v>24</v>
      </c>
    </row>
    <row r="127" spans="1:44" ht="18.75" customHeight="1">
      <c r="A127" s="198"/>
      <c r="B127" s="198"/>
      <c r="C127" s="198"/>
      <c r="D127" s="198"/>
      <c r="E127" s="198"/>
      <c r="F127" s="198"/>
      <c r="G127" s="198"/>
      <c r="H127" s="198"/>
      <c r="I127" s="198"/>
      <c r="J127" s="198"/>
      <c r="K127" s="198"/>
      <c r="L127" s="198"/>
      <c r="M127" s="198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8"/>
      <c r="AE127" s="198"/>
      <c r="AF127" s="198"/>
      <c r="AG127" s="198"/>
      <c r="AH127" s="198"/>
      <c r="AI127" s="198"/>
      <c r="AJ127" s="198"/>
      <c r="AK127" s="198"/>
      <c r="AL127" s="198"/>
      <c r="AM127" s="198"/>
      <c r="AN127" s="198"/>
      <c r="AO127" s="198"/>
      <c r="AP127" s="198"/>
      <c r="AQ127" s="198"/>
      <c r="AR127" s="15">
        <f t="shared" si="3"/>
        <v>25</v>
      </c>
    </row>
    <row r="128" spans="1:44" ht="18.75" customHeight="1">
      <c r="A128" s="198"/>
      <c r="B128" s="198"/>
      <c r="C128" s="198"/>
      <c r="D128" s="198"/>
      <c r="E128" s="198"/>
      <c r="F128" s="198"/>
      <c r="G128" s="198"/>
      <c r="H128" s="198"/>
      <c r="I128" s="198"/>
      <c r="J128" s="198"/>
      <c r="K128" s="198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  <c r="AF128" s="198"/>
      <c r="AG128" s="198"/>
      <c r="AH128" s="198"/>
      <c r="AI128" s="198"/>
      <c r="AJ128" s="198"/>
      <c r="AK128" s="198"/>
      <c r="AL128" s="198"/>
      <c r="AM128" s="198"/>
      <c r="AN128" s="198"/>
      <c r="AO128" s="198"/>
      <c r="AP128" s="198"/>
      <c r="AQ128" s="198"/>
      <c r="AR128" s="15">
        <f t="shared" si="3"/>
        <v>26</v>
      </c>
    </row>
    <row r="129" spans="1:48" ht="18.75" customHeight="1">
      <c r="A129" s="198"/>
      <c r="B129" s="198"/>
      <c r="C129" s="198"/>
      <c r="D129" s="198"/>
      <c r="E129" s="198"/>
      <c r="F129" s="198"/>
      <c r="G129" s="198"/>
      <c r="H129" s="198"/>
      <c r="I129" s="198"/>
      <c r="J129" s="198"/>
      <c r="K129" s="198"/>
      <c r="L129" s="198"/>
      <c r="M129" s="198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  <c r="AF129" s="198"/>
      <c r="AG129" s="198"/>
      <c r="AH129" s="198"/>
      <c r="AI129" s="198"/>
      <c r="AJ129" s="198"/>
      <c r="AK129" s="198"/>
      <c r="AL129" s="198"/>
      <c r="AM129" s="198"/>
      <c r="AN129" s="198"/>
      <c r="AO129" s="198"/>
      <c r="AP129" s="198"/>
      <c r="AQ129" s="198"/>
      <c r="AR129" s="15">
        <f t="shared" si="3"/>
        <v>27</v>
      </c>
    </row>
    <row r="130" spans="1:48" ht="18.75" customHeight="1">
      <c r="A130" s="198"/>
      <c r="B130" s="198"/>
      <c r="C130" s="198"/>
      <c r="D130" s="198"/>
      <c r="E130" s="198"/>
      <c r="F130" s="198"/>
      <c r="G130" s="198"/>
      <c r="H130" s="198"/>
      <c r="I130" s="198"/>
      <c r="J130" s="198"/>
      <c r="K130" s="198"/>
      <c r="L130" s="198"/>
      <c r="M130" s="198"/>
      <c r="N130" s="198"/>
      <c r="O130" s="198"/>
      <c r="P130" s="198"/>
      <c r="Q130" s="198"/>
      <c r="R130" s="198"/>
      <c r="S130" s="198"/>
      <c r="T130" s="198"/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  <c r="AF130" s="198"/>
      <c r="AG130" s="198"/>
      <c r="AH130" s="198"/>
      <c r="AI130" s="198"/>
      <c r="AJ130" s="198"/>
      <c r="AK130" s="198"/>
      <c r="AL130" s="198"/>
      <c r="AM130" s="198"/>
      <c r="AN130" s="198"/>
      <c r="AO130" s="198"/>
      <c r="AP130" s="198"/>
      <c r="AQ130" s="198"/>
      <c r="AR130" s="15">
        <f t="shared" si="3"/>
        <v>28</v>
      </c>
    </row>
    <row r="131" spans="1:48" ht="18.75" customHeight="1">
      <c r="A131" s="198"/>
      <c r="B131" s="198"/>
      <c r="C131" s="198"/>
      <c r="D131" s="198"/>
      <c r="E131" s="198"/>
      <c r="F131" s="198"/>
      <c r="G131" s="198"/>
      <c r="H131" s="198"/>
      <c r="I131" s="198"/>
      <c r="J131" s="198"/>
      <c r="K131" s="198"/>
      <c r="L131" s="198"/>
      <c r="M131" s="198"/>
      <c r="N131" s="198"/>
      <c r="O131" s="198"/>
      <c r="P131" s="198"/>
      <c r="Q131" s="198"/>
      <c r="R131" s="198"/>
      <c r="S131" s="198"/>
      <c r="T131" s="198"/>
      <c r="U131" s="198"/>
      <c r="V131" s="198"/>
      <c r="W131" s="198"/>
      <c r="X131" s="198"/>
      <c r="Y131" s="198"/>
      <c r="Z131" s="198"/>
      <c r="AA131" s="198"/>
      <c r="AB131" s="198"/>
      <c r="AC131" s="198"/>
      <c r="AD131" s="198"/>
      <c r="AE131" s="198"/>
      <c r="AF131" s="198"/>
      <c r="AG131" s="198"/>
      <c r="AH131" s="198"/>
      <c r="AI131" s="198"/>
      <c r="AJ131" s="198"/>
      <c r="AK131" s="198"/>
      <c r="AL131" s="198"/>
      <c r="AM131" s="198"/>
      <c r="AN131" s="198"/>
      <c r="AO131" s="198"/>
      <c r="AP131" s="198"/>
      <c r="AQ131" s="198"/>
      <c r="AR131" s="15">
        <f t="shared" si="3"/>
        <v>29</v>
      </c>
    </row>
    <row r="132" spans="1:48" ht="18.75" customHeight="1">
      <c r="A132" s="198"/>
      <c r="B132" s="198"/>
      <c r="C132" s="198"/>
      <c r="D132" s="198"/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8"/>
      <c r="Y132" s="198"/>
      <c r="Z132" s="198"/>
      <c r="AA132" s="198"/>
      <c r="AB132" s="198"/>
      <c r="AC132" s="198"/>
      <c r="AD132" s="198"/>
      <c r="AE132" s="198"/>
      <c r="AF132" s="198"/>
      <c r="AG132" s="198"/>
      <c r="AH132" s="198"/>
      <c r="AI132" s="198"/>
      <c r="AJ132" s="198"/>
      <c r="AK132" s="198"/>
      <c r="AL132" s="198"/>
      <c r="AM132" s="198"/>
      <c r="AN132" s="198"/>
      <c r="AO132" s="198"/>
      <c r="AP132" s="198"/>
      <c r="AQ132" s="198"/>
      <c r="AR132" s="15">
        <f t="shared" si="3"/>
        <v>30</v>
      </c>
    </row>
    <row r="133" spans="1:48" ht="18.75" customHeight="1">
      <c r="A133" s="198"/>
      <c r="B133" s="198"/>
      <c r="C133" s="198"/>
      <c r="D133" s="198"/>
      <c r="E133" s="198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  <c r="P133" s="198"/>
      <c r="Q133" s="198"/>
      <c r="R133" s="198"/>
      <c r="S133" s="198"/>
      <c r="T133" s="198"/>
      <c r="U133" s="198"/>
      <c r="V133" s="198"/>
      <c r="W133" s="198"/>
      <c r="X133" s="198"/>
      <c r="Y133" s="198"/>
      <c r="Z133" s="198"/>
      <c r="AA133" s="198"/>
      <c r="AB133" s="198"/>
      <c r="AC133" s="198"/>
      <c r="AD133" s="198"/>
      <c r="AE133" s="198"/>
      <c r="AF133" s="198"/>
      <c r="AG133" s="198"/>
      <c r="AH133" s="198"/>
      <c r="AI133" s="198"/>
      <c r="AJ133" s="198"/>
      <c r="AK133" s="198"/>
      <c r="AL133" s="198"/>
      <c r="AM133" s="198"/>
      <c r="AN133" s="198"/>
      <c r="AO133" s="198"/>
      <c r="AP133" s="198"/>
      <c r="AQ133" s="198"/>
      <c r="AR133" s="15">
        <f t="shared" si="3"/>
        <v>31</v>
      </c>
    </row>
    <row r="134" spans="1:48" ht="18.75" customHeight="1">
      <c r="A134" s="198"/>
      <c r="B134" s="198"/>
      <c r="C134" s="198"/>
      <c r="D134" s="198"/>
      <c r="E134" s="198"/>
      <c r="F134" s="198"/>
      <c r="G134" s="198"/>
      <c r="H134" s="198"/>
      <c r="I134" s="198"/>
      <c r="J134" s="198"/>
      <c r="K134" s="198"/>
      <c r="L134" s="198"/>
      <c r="M134" s="198"/>
      <c r="N134" s="198"/>
      <c r="O134" s="198"/>
      <c r="P134" s="198"/>
      <c r="Q134" s="198"/>
      <c r="R134" s="198"/>
      <c r="S134" s="198"/>
      <c r="T134" s="198"/>
      <c r="U134" s="198"/>
      <c r="V134" s="198"/>
      <c r="W134" s="198"/>
      <c r="X134" s="198"/>
      <c r="Y134" s="198"/>
      <c r="Z134" s="198"/>
      <c r="AA134" s="198"/>
      <c r="AB134" s="198"/>
      <c r="AC134" s="198"/>
      <c r="AD134" s="198"/>
      <c r="AE134" s="198"/>
      <c r="AF134" s="198"/>
      <c r="AG134" s="198"/>
      <c r="AH134" s="198"/>
      <c r="AI134" s="198"/>
      <c r="AJ134" s="198"/>
      <c r="AK134" s="198"/>
      <c r="AL134" s="198"/>
      <c r="AM134" s="198"/>
      <c r="AN134" s="198"/>
      <c r="AO134" s="198"/>
      <c r="AP134" s="198"/>
      <c r="AQ134" s="198"/>
      <c r="AR134" s="15">
        <f t="shared" si="3"/>
        <v>32</v>
      </c>
    </row>
    <row r="135" spans="1:48" ht="18.75" customHeight="1">
      <c r="A135" s="198"/>
      <c r="B135" s="198"/>
      <c r="C135" s="198"/>
      <c r="D135" s="198"/>
      <c r="E135" s="198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  <c r="P135" s="198"/>
      <c r="Q135" s="198"/>
      <c r="R135" s="198"/>
      <c r="S135" s="198"/>
      <c r="T135" s="198"/>
      <c r="U135" s="198"/>
      <c r="V135" s="198"/>
      <c r="W135" s="198"/>
      <c r="X135" s="198"/>
      <c r="Y135" s="198"/>
      <c r="Z135" s="198"/>
      <c r="AA135" s="198"/>
      <c r="AB135" s="198"/>
      <c r="AC135" s="198"/>
      <c r="AD135" s="198"/>
      <c r="AE135" s="198"/>
      <c r="AF135" s="198"/>
      <c r="AG135" s="198"/>
      <c r="AH135" s="198"/>
      <c r="AI135" s="198"/>
      <c r="AJ135" s="198"/>
      <c r="AK135" s="198"/>
      <c r="AL135" s="198"/>
      <c r="AM135" s="198"/>
      <c r="AN135" s="198"/>
      <c r="AO135" s="198"/>
      <c r="AP135" s="198"/>
      <c r="AQ135" s="198"/>
      <c r="AR135" s="15">
        <f t="shared" si="3"/>
        <v>33</v>
      </c>
    </row>
    <row r="136" spans="1:48" ht="18.75" customHeight="1">
      <c r="A136" s="198"/>
      <c r="B136" s="198"/>
      <c r="C136" s="198"/>
      <c r="D136" s="198"/>
      <c r="E136" s="198"/>
      <c r="F136" s="198"/>
      <c r="G136" s="198"/>
      <c r="H136" s="198"/>
      <c r="I136" s="198"/>
      <c r="J136" s="198"/>
      <c r="K136" s="198"/>
      <c r="L136" s="198"/>
      <c r="M136" s="198"/>
      <c r="N136" s="198"/>
      <c r="O136" s="198"/>
      <c r="P136" s="198"/>
      <c r="Q136" s="198"/>
      <c r="R136" s="198"/>
      <c r="S136" s="198"/>
      <c r="T136" s="198"/>
      <c r="U136" s="198"/>
      <c r="V136" s="198"/>
      <c r="W136" s="198"/>
      <c r="X136" s="198"/>
      <c r="Y136" s="198"/>
      <c r="Z136" s="198"/>
      <c r="AA136" s="198"/>
      <c r="AB136" s="198"/>
      <c r="AC136" s="198"/>
      <c r="AD136" s="198"/>
      <c r="AE136" s="198"/>
      <c r="AF136" s="198"/>
      <c r="AG136" s="198"/>
      <c r="AH136" s="198"/>
      <c r="AI136" s="198"/>
      <c r="AJ136" s="198"/>
      <c r="AK136" s="198"/>
      <c r="AL136" s="198"/>
      <c r="AM136" s="198"/>
      <c r="AN136" s="198"/>
      <c r="AO136" s="198"/>
      <c r="AP136" s="198"/>
      <c r="AQ136" s="198"/>
      <c r="AR136" s="15">
        <f t="shared" si="3"/>
        <v>34</v>
      </c>
    </row>
    <row r="137" spans="1:48" ht="16.5" customHeight="1">
      <c r="A137" s="197"/>
      <c r="B137" s="197"/>
      <c r="AI137" s="200" t="str">
        <f>'1'!$AI$1</f>
        <v>R4健障障第100号</v>
      </c>
      <c r="AJ137" s="200"/>
      <c r="AK137" s="200"/>
      <c r="AL137" s="200"/>
      <c r="AM137" s="200"/>
      <c r="AN137" s="200"/>
      <c r="AO137" s="200"/>
      <c r="AP137" s="200"/>
      <c r="AQ137" s="200"/>
      <c r="AR137" s="15">
        <v>1</v>
      </c>
    </row>
    <row r="138" spans="1:48" ht="16.5" customHeight="1">
      <c r="A138" s="197"/>
      <c r="B138" s="197"/>
      <c r="AI138" s="201">
        <f>'1'!$AI$2</f>
        <v>44677</v>
      </c>
      <c r="AJ138" s="201"/>
      <c r="AK138" s="201"/>
      <c r="AL138" s="201"/>
      <c r="AM138" s="201"/>
      <c r="AN138" s="201"/>
      <c r="AO138" s="201"/>
      <c r="AP138" s="201"/>
      <c r="AQ138" s="201"/>
      <c r="AR138" s="15">
        <f>AR137+1</f>
        <v>2</v>
      </c>
    </row>
    <row r="139" spans="1:48" ht="18.75" customHeight="1">
      <c r="A139" s="198"/>
      <c r="B139" s="198"/>
      <c r="C139" s="198"/>
      <c r="D139" s="198"/>
      <c r="E139" s="198"/>
      <c r="F139" s="198"/>
      <c r="G139" s="198"/>
      <c r="H139" s="198"/>
      <c r="I139" s="198"/>
      <c r="J139" s="198"/>
      <c r="K139" s="198"/>
      <c r="L139" s="198"/>
      <c r="M139" s="198"/>
      <c r="N139" s="198"/>
      <c r="O139" s="198"/>
      <c r="P139" s="198"/>
      <c r="Q139" s="198"/>
      <c r="R139" s="198"/>
      <c r="S139" s="198"/>
      <c r="T139" s="198"/>
      <c r="U139" s="198"/>
      <c r="V139" s="198"/>
      <c r="W139" s="198"/>
      <c r="X139" s="198"/>
      <c r="Y139" s="198"/>
      <c r="Z139" s="198"/>
      <c r="AA139" s="198"/>
      <c r="AB139" s="198"/>
      <c r="AC139" s="198"/>
      <c r="AD139" s="198"/>
      <c r="AE139" s="198"/>
      <c r="AF139" s="198"/>
      <c r="AG139" s="198"/>
      <c r="AH139" s="198"/>
      <c r="AI139" s="198"/>
      <c r="AJ139" s="198"/>
      <c r="AK139" s="198"/>
      <c r="AL139" s="198"/>
      <c r="AM139" s="198"/>
      <c r="AN139" s="198"/>
      <c r="AO139" s="198"/>
      <c r="AP139" s="198"/>
      <c r="AQ139" s="198"/>
      <c r="AR139" s="15">
        <f t="shared" ref="AR139:AR170" si="4">AR138+1</f>
        <v>3</v>
      </c>
    </row>
    <row r="140" spans="1:48" ht="18.75" customHeight="1">
      <c r="A140" s="199" t="str">
        <f>INDEX(送付先一覧!A:O,MATCH(AV140,送付先一覧!A:A,0),4)</f>
        <v>特定非営利活動法人自閉症ピアリンクセンターここねっと</v>
      </c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  <c r="Z140" s="199"/>
      <c r="AA140" s="199"/>
      <c r="AB140" s="199"/>
      <c r="AC140" s="199"/>
      <c r="AD140" s="199"/>
      <c r="AE140" s="199"/>
      <c r="AF140" s="199"/>
      <c r="AG140" s="199"/>
      <c r="AH140" s="199"/>
      <c r="AI140" s="199"/>
      <c r="AJ140" s="199"/>
      <c r="AK140" s="199"/>
      <c r="AL140" s="199"/>
      <c r="AM140" s="199"/>
      <c r="AN140" s="199"/>
      <c r="AO140" s="199"/>
      <c r="AP140" s="199"/>
      <c r="AQ140" s="199"/>
      <c r="AR140" s="15">
        <f t="shared" si="4"/>
        <v>4</v>
      </c>
      <c r="AV140" s="65">
        <f>AV106+1</f>
        <v>45</v>
      </c>
    </row>
    <row r="141" spans="1:48" ht="18.75" customHeight="1">
      <c r="A141" s="202" t="str">
        <f>INDEX(送付先一覧!A:O,MATCH(AV140,送付先一覧!A:A,0),5)</f>
        <v>理事長　涌澤　圭介</v>
      </c>
      <c r="B141" s="202"/>
      <c r="C141" s="202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15">
        <f t="shared" si="4"/>
        <v>5</v>
      </c>
    </row>
    <row r="142" spans="1:48" ht="18.75" customHeight="1">
      <c r="A142" s="198"/>
      <c r="B142" s="198"/>
      <c r="C142" s="198"/>
      <c r="D142" s="198"/>
      <c r="E142" s="198"/>
      <c r="F142" s="198"/>
      <c r="G142" s="198"/>
      <c r="H142" s="198"/>
      <c r="I142" s="198"/>
      <c r="J142" s="198"/>
      <c r="K142" s="198"/>
      <c r="L142" s="198"/>
      <c r="M142" s="198"/>
      <c r="N142" s="198"/>
      <c r="O142" s="198"/>
      <c r="P142" s="198"/>
      <c r="Q142" s="198"/>
      <c r="R142" s="198"/>
      <c r="S142" s="198"/>
      <c r="T142" s="198"/>
      <c r="U142" s="198"/>
      <c r="V142" s="198"/>
      <c r="W142" s="198"/>
      <c r="X142" s="198"/>
      <c r="Y142" s="198"/>
      <c r="Z142" s="198"/>
      <c r="AA142" s="198"/>
      <c r="AB142" s="198"/>
      <c r="AC142" s="198"/>
      <c r="AD142" s="198"/>
      <c r="AE142" s="198"/>
      <c r="AF142" s="198"/>
      <c r="AG142" s="198"/>
      <c r="AH142" s="198"/>
      <c r="AI142" s="198"/>
      <c r="AJ142" s="198"/>
      <c r="AK142" s="198"/>
      <c r="AL142" s="198"/>
      <c r="AM142" s="198"/>
      <c r="AN142" s="198"/>
      <c r="AO142" s="198"/>
      <c r="AP142" s="198"/>
      <c r="AQ142" s="198"/>
      <c r="AR142" s="15">
        <f t="shared" si="4"/>
        <v>6</v>
      </c>
    </row>
    <row r="143" spans="1:48" ht="18.75" customHeight="1">
      <c r="V143" s="199" t="str">
        <f>'1'!$V$7</f>
        <v>仙台市健康福祉局障害福祉部障害企画課長　　</v>
      </c>
      <c r="W143" s="199"/>
      <c r="X143" s="199"/>
      <c r="Y143" s="199"/>
      <c r="Z143" s="199"/>
      <c r="AA143" s="199"/>
      <c r="AB143" s="199"/>
      <c r="AC143" s="199"/>
      <c r="AD143" s="199"/>
      <c r="AE143" s="199"/>
      <c r="AF143" s="199"/>
      <c r="AG143" s="199"/>
      <c r="AH143" s="199"/>
      <c r="AI143" s="199"/>
      <c r="AJ143" s="199"/>
      <c r="AK143" s="199"/>
      <c r="AL143" s="199"/>
      <c r="AM143" s="199"/>
      <c r="AN143" s="199"/>
      <c r="AO143" s="199"/>
      <c r="AP143" s="199"/>
      <c r="AQ143" s="199"/>
      <c r="AR143" s="15">
        <f t="shared" si="4"/>
        <v>7</v>
      </c>
    </row>
    <row r="144" spans="1:48" ht="18.75" customHeight="1">
      <c r="V144" s="199" t="str">
        <f>'1'!$V$8</f>
        <v>仙台市健康福祉局障害福祉部障害者支援課長　</v>
      </c>
      <c r="W144" s="199"/>
      <c r="X144" s="199"/>
      <c r="Y144" s="199"/>
      <c r="Z144" s="199"/>
      <c r="AA144" s="199"/>
      <c r="AB144" s="199"/>
      <c r="AC144" s="199"/>
      <c r="AD144" s="199"/>
      <c r="AE144" s="199"/>
      <c r="AF144" s="199"/>
      <c r="AG144" s="199"/>
      <c r="AH144" s="199"/>
      <c r="AI144" s="199"/>
      <c r="AJ144" s="199"/>
      <c r="AK144" s="199"/>
      <c r="AL144" s="199"/>
      <c r="AM144" s="199"/>
      <c r="AN144" s="199"/>
      <c r="AO144" s="199"/>
      <c r="AP144" s="199"/>
      <c r="AQ144" s="199"/>
      <c r="AR144" s="15">
        <f t="shared" si="4"/>
        <v>8</v>
      </c>
    </row>
    <row r="145" spans="1:44" ht="18.75" customHeight="1">
      <c r="A145" s="198"/>
      <c r="B145" s="198"/>
      <c r="C145" s="198"/>
      <c r="D145" s="198"/>
      <c r="E145" s="198"/>
      <c r="F145" s="198"/>
      <c r="G145" s="198"/>
      <c r="H145" s="198"/>
      <c r="I145" s="198"/>
      <c r="J145" s="198"/>
      <c r="K145" s="198"/>
      <c r="L145" s="198"/>
      <c r="M145" s="198"/>
      <c r="N145" s="198"/>
      <c r="O145" s="198"/>
      <c r="P145" s="198"/>
      <c r="Q145" s="198"/>
      <c r="R145" s="198"/>
      <c r="S145" s="198"/>
      <c r="T145" s="198"/>
      <c r="U145" s="198"/>
      <c r="V145" s="198"/>
      <c r="W145" s="198"/>
      <c r="X145" s="198"/>
      <c r="Y145" s="198"/>
      <c r="Z145" s="198"/>
      <c r="AA145" s="198"/>
      <c r="AB145" s="198"/>
      <c r="AC145" s="198"/>
      <c r="AD145" s="198"/>
      <c r="AE145" s="198"/>
      <c r="AF145" s="198"/>
      <c r="AG145" s="198"/>
      <c r="AH145" s="198"/>
      <c r="AI145" s="198"/>
      <c r="AJ145" s="198"/>
      <c r="AK145" s="198"/>
      <c r="AL145" s="198"/>
      <c r="AM145" s="198"/>
      <c r="AN145" s="198"/>
      <c r="AO145" s="198"/>
      <c r="AP145" s="198"/>
      <c r="AQ145" s="198"/>
      <c r="AR145" s="15">
        <f t="shared" si="4"/>
        <v>9</v>
      </c>
    </row>
    <row r="146" spans="1:44" ht="22.5" customHeight="1">
      <c r="A146" s="203" t="str">
        <f>'1'!$A$10</f>
        <v>令和４年度仙台市障害福祉分野のICT導入モデル事業補助金の内示について</v>
      </c>
      <c r="B146" s="203"/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15">
        <f t="shared" si="4"/>
        <v>10</v>
      </c>
    </row>
    <row r="147" spans="1:44" ht="18.75" customHeight="1">
      <c r="A147" s="198"/>
      <c r="B147" s="198"/>
      <c r="C147" s="198"/>
      <c r="D147" s="198"/>
      <c r="E147" s="198"/>
      <c r="F147" s="198"/>
      <c r="G147" s="198"/>
      <c r="H147" s="198"/>
      <c r="I147" s="198"/>
      <c r="J147" s="198"/>
      <c r="K147" s="198"/>
      <c r="L147" s="198"/>
      <c r="M147" s="198"/>
      <c r="N147" s="198"/>
      <c r="O147" s="198"/>
      <c r="P147" s="198"/>
      <c r="Q147" s="198"/>
      <c r="R147" s="198"/>
      <c r="S147" s="198"/>
      <c r="T147" s="198"/>
      <c r="U147" s="198"/>
      <c r="V147" s="198"/>
      <c r="W147" s="198"/>
      <c r="X147" s="198"/>
      <c r="Y147" s="198"/>
      <c r="Z147" s="198"/>
      <c r="AA147" s="198"/>
      <c r="AB147" s="198"/>
      <c r="AC147" s="198"/>
      <c r="AD147" s="198"/>
      <c r="AE147" s="198"/>
      <c r="AF147" s="198"/>
      <c r="AG147" s="198"/>
      <c r="AH147" s="198"/>
      <c r="AI147" s="198"/>
      <c r="AJ147" s="198"/>
      <c r="AK147" s="198"/>
      <c r="AL147" s="198"/>
      <c r="AM147" s="198"/>
      <c r="AN147" s="198"/>
      <c r="AO147" s="198"/>
      <c r="AP147" s="198"/>
      <c r="AQ147" s="198"/>
      <c r="AR147" s="15">
        <f t="shared" si="4"/>
        <v>11</v>
      </c>
    </row>
    <row r="148" spans="1:44" ht="93.75" customHeight="1">
      <c r="A148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48" s="205"/>
      <c r="C148" s="205"/>
      <c r="D148" s="205"/>
      <c r="E148" s="205"/>
      <c r="F148" s="205"/>
      <c r="G148" s="205"/>
      <c r="H148" s="205"/>
      <c r="I148" s="205"/>
      <c r="J148" s="205"/>
      <c r="K148" s="205"/>
      <c r="L148" s="205"/>
      <c r="M148" s="205"/>
      <c r="N148" s="205"/>
      <c r="O148" s="205"/>
      <c r="P148" s="205"/>
      <c r="Q148" s="205"/>
      <c r="R148" s="205"/>
      <c r="S148" s="205"/>
      <c r="T148" s="205"/>
      <c r="U148" s="205"/>
      <c r="V148" s="205"/>
      <c r="W148" s="205"/>
      <c r="X148" s="205"/>
      <c r="Y148" s="205"/>
      <c r="Z148" s="205"/>
      <c r="AA148" s="205"/>
      <c r="AB148" s="205"/>
      <c r="AC148" s="205"/>
      <c r="AD148" s="205"/>
      <c r="AE148" s="205"/>
      <c r="AF148" s="205"/>
      <c r="AG148" s="205"/>
      <c r="AH148" s="205"/>
      <c r="AI148" s="205"/>
      <c r="AJ148" s="205"/>
      <c r="AK148" s="205"/>
      <c r="AL148" s="205"/>
      <c r="AM148" s="205"/>
      <c r="AN148" s="205"/>
      <c r="AO148" s="205"/>
      <c r="AP148" s="205"/>
      <c r="AQ148" s="205"/>
      <c r="AR148" s="15">
        <f t="shared" si="4"/>
        <v>12</v>
      </c>
    </row>
    <row r="149" spans="1:44" ht="18.75" customHeight="1">
      <c r="A149" s="198"/>
      <c r="B149" s="198"/>
      <c r="C149" s="198"/>
      <c r="D149" s="198"/>
      <c r="E149" s="198"/>
      <c r="F149" s="198"/>
      <c r="G149" s="198"/>
      <c r="H149" s="198"/>
      <c r="I149" s="198"/>
      <c r="J149" s="198"/>
      <c r="K149" s="198"/>
      <c r="L149" s="198"/>
      <c r="M149" s="198"/>
      <c r="N149" s="198"/>
      <c r="O149" s="198"/>
      <c r="P149" s="198"/>
      <c r="Q149" s="198"/>
      <c r="R149" s="198"/>
      <c r="S149" s="198"/>
      <c r="T149" s="198"/>
      <c r="U149" s="198"/>
      <c r="V149" s="198"/>
      <c r="W149" s="198"/>
      <c r="X149" s="198"/>
      <c r="Y149" s="198"/>
      <c r="Z149" s="198"/>
      <c r="AA149" s="198"/>
      <c r="AB149" s="198"/>
      <c r="AC149" s="198"/>
      <c r="AD149" s="198"/>
      <c r="AE149" s="198"/>
      <c r="AF149" s="198"/>
      <c r="AG149" s="198"/>
      <c r="AH149" s="198"/>
      <c r="AI149" s="198"/>
      <c r="AJ149" s="198"/>
      <c r="AK149" s="198"/>
      <c r="AL149" s="198"/>
      <c r="AM149" s="198"/>
      <c r="AN149" s="198"/>
      <c r="AO149" s="198"/>
      <c r="AP149" s="198"/>
      <c r="AQ149" s="198"/>
      <c r="AR149" s="15">
        <f t="shared" si="4"/>
        <v>13</v>
      </c>
    </row>
    <row r="150" spans="1:44" ht="18.75" customHeight="1">
      <c r="A150" s="197" t="str">
        <f>'1'!$A$14</f>
        <v>記</v>
      </c>
      <c r="B150" s="197"/>
      <c r="C150" s="197"/>
      <c r="D150" s="197"/>
      <c r="E150" s="197"/>
      <c r="F150" s="197"/>
      <c r="G150" s="197"/>
      <c r="H150" s="197"/>
      <c r="I150" s="197"/>
      <c r="J150" s="197"/>
      <c r="K150" s="197"/>
      <c r="L150" s="197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  <c r="AA150" s="197"/>
      <c r="AB150" s="197"/>
      <c r="AC150" s="197"/>
      <c r="AD150" s="197"/>
      <c r="AE150" s="197"/>
      <c r="AF150" s="197"/>
      <c r="AG150" s="197"/>
      <c r="AH150" s="197"/>
      <c r="AI150" s="197"/>
      <c r="AJ150" s="197"/>
      <c r="AK150" s="197"/>
      <c r="AL150" s="197"/>
      <c r="AM150" s="197"/>
      <c r="AN150" s="197"/>
      <c r="AO150" s="197"/>
      <c r="AP150" s="197"/>
      <c r="AQ150" s="197"/>
      <c r="AR150" s="15">
        <f t="shared" si="4"/>
        <v>14</v>
      </c>
    </row>
    <row r="151" spans="1:44" ht="18.75" customHeight="1">
      <c r="A151" s="198"/>
      <c r="B151" s="198"/>
      <c r="C151" s="198"/>
      <c r="D151" s="198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  <c r="AB151" s="198"/>
      <c r="AC151" s="198"/>
      <c r="AD151" s="198"/>
      <c r="AE151" s="198"/>
      <c r="AF151" s="198"/>
      <c r="AG151" s="198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5">
        <f t="shared" si="4"/>
        <v>15</v>
      </c>
    </row>
    <row r="152" spans="1:44" ht="18.75" customHeight="1">
      <c r="I152" s="199" t="str">
        <f>'1'!$I$16</f>
        <v>補助内示額</v>
      </c>
      <c r="J152" s="199"/>
      <c r="K152" s="199"/>
      <c r="L152" s="199"/>
      <c r="M152" s="199"/>
      <c r="N152" s="199"/>
      <c r="S152" s="206">
        <f>INDEX(送付先一覧!A:O,MATCH(AV140,送付先一覧!A:A,0),12)</f>
        <v>122000</v>
      </c>
      <c r="T152" s="206"/>
      <c r="U152" s="206"/>
      <c r="V152" s="206"/>
      <c r="W152" s="206"/>
      <c r="X152" s="206"/>
      <c r="Y152" s="206"/>
      <c r="Z152" s="206"/>
      <c r="AA152" s="206"/>
      <c r="AB152" s="206"/>
      <c r="AC152" s="206"/>
      <c r="AD152" s="206"/>
      <c r="AE152" s="206"/>
      <c r="AF152" s="199"/>
      <c r="AG152" s="199"/>
      <c r="AH152" s="199"/>
      <c r="AI152" s="199"/>
      <c r="AR152" s="15">
        <f t="shared" si="4"/>
        <v>16</v>
      </c>
    </row>
    <row r="153" spans="1:44" ht="18.75" customHeight="1">
      <c r="I153" s="199" t="str">
        <f>'1'!$I$17</f>
        <v>事業種別</v>
      </c>
      <c r="J153" s="199"/>
      <c r="K153" s="199"/>
      <c r="L153" s="199"/>
      <c r="M153" s="199"/>
      <c r="N153" s="199"/>
      <c r="O153" s="199"/>
      <c r="P153" s="199"/>
      <c r="Q153" s="199"/>
      <c r="R153" s="199"/>
      <c r="S153" s="199" t="str">
        <f>INDEX(送付先一覧!A:O,MATCH(AV140,送付先一覧!A:A,0),9)</f>
        <v>自立訓練</v>
      </c>
      <c r="T153" s="199"/>
      <c r="U153" s="199"/>
      <c r="V153" s="199"/>
      <c r="W153" s="199"/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99"/>
      <c r="AI153" s="199"/>
      <c r="AJ153" s="199"/>
      <c r="AK153" s="199"/>
      <c r="AL153" s="199"/>
      <c r="AM153" s="199"/>
      <c r="AN153" s="199"/>
      <c r="AO153" s="199"/>
      <c r="AP153" s="199"/>
      <c r="AR153" s="15">
        <f t="shared" si="4"/>
        <v>17</v>
      </c>
    </row>
    <row r="154" spans="1:44" ht="18.75" customHeight="1">
      <c r="I154" s="199" t="str">
        <f>'1'!$I$18</f>
        <v>事業所名</v>
      </c>
      <c r="J154" s="199"/>
      <c r="K154" s="199"/>
      <c r="L154" s="199"/>
      <c r="M154" s="199"/>
      <c r="N154" s="199"/>
      <c r="O154" s="199"/>
      <c r="P154" s="199"/>
      <c r="Q154" s="199"/>
      <c r="R154" s="199"/>
      <c r="S154" s="204" t="str">
        <f>INDEX(送付先一覧!A:O,MATCH(AV140,送付先一覧!A:A,0),8)</f>
        <v>ここねっとステップ</v>
      </c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15">
        <f t="shared" si="4"/>
        <v>18</v>
      </c>
    </row>
    <row r="155" spans="1:44" ht="18.75" customHeight="1">
      <c r="I155" s="198"/>
      <c r="J155" s="198"/>
      <c r="K155" s="198"/>
      <c r="L155" s="198"/>
      <c r="M155" s="198"/>
      <c r="N155" s="198"/>
      <c r="O155" s="198"/>
      <c r="P155" s="198"/>
      <c r="Q155" s="198"/>
      <c r="R155" s="198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15">
        <f t="shared" si="4"/>
        <v>19</v>
      </c>
    </row>
    <row r="156" spans="1:44" ht="18.75" customHeight="1"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  <c r="S156" s="198"/>
      <c r="T156" s="198"/>
      <c r="U156" s="198"/>
      <c r="V156" s="198"/>
      <c r="W156" s="198"/>
      <c r="X156" s="198"/>
      <c r="Y156" s="198"/>
      <c r="Z156" s="198"/>
      <c r="AA156" s="198"/>
      <c r="AB156" s="198"/>
      <c r="AC156" s="198"/>
      <c r="AD156" s="198"/>
      <c r="AE156" s="198"/>
      <c r="AF156" s="198"/>
      <c r="AG156" s="198"/>
      <c r="AH156" s="198"/>
      <c r="AI156" s="198"/>
      <c r="AR156" s="15">
        <f t="shared" si="4"/>
        <v>20</v>
      </c>
    </row>
    <row r="157" spans="1:44" ht="18.75" customHeight="1">
      <c r="A157" s="198"/>
      <c r="B157" s="198"/>
      <c r="C157" s="198"/>
      <c r="D157" s="198"/>
      <c r="E157" s="198"/>
      <c r="F157" s="198"/>
      <c r="G157" s="198"/>
      <c r="H157" s="198"/>
      <c r="I157" s="198"/>
      <c r="J157" s="198"/>
      <c r="K157" s="198"/>
      <c r="L157" s="198"/>
      <c r="M157" s="198"/>
      <c r="N157" s="198"/>
      <c r="O157" s="198"/>
      <c r="P157" s="198"/>
      <c r="Q157" s="198"/>
      <c r="R157" s="198"/>
      <c r="S157" s="198"/>
      <c r="T157" s="198"/>
      <c r="U157" s="198"/>
      <c r="V157" s="198"/>
      <c r="W157" s="198"/>
      <c r="X157" s="198"/>
      <c r="Y157" s="198"/>
      <c r="Z157" s="198"/>
      <c r="AA157" s="198"/>
      <c r="AB157" s="198"/>
      <c r="AC157" s="198"/>
      <c r="AD157" s="198"/>
      <c r="AE157" s="198"/>
      <c r="AF157" s="198"/>
      <c r="AG157" s="198"/>
      <c r="AH157" s="198"/>
      <c r="AI157" s="198"/>
      <c r="AJ157" s="198"/>
      <c r="AK157" s="198"/>
      <c r="AL157" s="198"/>
      <c r="AM157" s="198"/>
      <c r="AN157" s="198"/>
      <c r="AO157" s="198"/>
      <c r="AP157" s="198"/>
      <c r="AQ157" s="198"/>
      <c r="AR157" s="15">
        <f t="shared" si="4"/>
        <v>21</v>
      </c>
    </row>
    <row r="158" spans="1:44" ht="18.75" customHeight="1">
      <c r="A158" s="198"/>
      <c r="B158" s="198"/>
      <c r="C158" s="198"/>
      <c r="D158" s="198"/>
      <c r="E158" s="198"/>
      <c r="F158" s="198"/>
      <c r="G158" s="198"/>
      <c r="H158" s="198"/>
      <c r="I158" s="198"/>
      <c r="J158" s="198"/>
      <c r="K158" s="198"/>
      <c r="L158" s="198"/>
      <c r="M158" s="198"/>
      <c r="N158" s="198"/>
      <c r="O158" s="198"/>
      <c r="P158" s="198"/>
      <c r="Q158" s="198"/>
      <c r="R158" s="198"/>
      <c r="S158" s="198"/>
      <c r="T158" s="198"/>
      <c r="U158" s="198"/>
      <c r="V158" s="198"/>
      <c r="W158" s="198"/>
      <c r="X158" s="198"/>
      <c r="Y158" s="198"/>
      <c r="Z158" s="198"/>
      <c r="AA158" s="198"/>
      <c r="AB158" s="198"/>
      <c r="AC158" s="198"/>
      <c r="AD158" s="198"/>
      <c r="AE158" s="198"/>
      <c r="AF158" s="198"/>
      <c r="AG158" s="198"/>
      <c r="AH158" s="198"/>
      <c r="AI158" s="198"/>
      <c r="AJ158" s="198"/>
      <c r="AK158" s="198"/>
      <c r="AL158" s="198"/>
      <c r="AM158" s="198"/>
      <c r="AN158" s="198"/>
      <c r="AO158" s="198"/>
      <c r="AP158" s="198"/>
      <c r="AQ158" s="198"/>
      <c r="AR158" s="15">
        <f t="shared" si="4"/>
        <v>22</v>
      </c>
    </row>
    <row r="159" spans="1:44" ht="18.75" customHeight="1">
      <c r="A159" s="198"/>
      <c r="B159" s="198"/>
      <c r="C159" s="198"/>
      <c r="D159" s="198"/>
      <c r="E159" s="198"/>
      <c r="F159" s="198"/>
      <c r="G159" s="198"/>
      <c r="H159" s="198"/>
      <c r="I159" s="198"/>
      <c r="J159" s="198"/>
      <c r="K159" s="198"/>
      <c r="L159" s="198"/>
      <c r="M159" s="198"/>
      <c r="N159" s="198"/>
      <c r="O159" s="198"/>
      <c r="P159" s="198"/>
      <c r="Q159" s="198"/>
      <c r="R159" s="198"/>
      <c r="S159" s="198"/>
      <c r="T159" s="198"/>
      <c r="U159" s="198"/>
      <c r="V159" s="198"/>
      <c r="W159" s="198"/>
      <c r="X159" s="198"/>
      <c r="Y159" s="198"/>
      <c r="Z159" s="198"/>
      <c r="AA159" s="198"/>
      <c r="AB159" s="198"/>
      <c r="AC159" s="198"/>
      <c r="AD159" s="198"/>
      <c r="AE159" s="198"/>
      <c r="AF159" s="198"/>
      <c r="AG159" s="198"/>
      <c r="AH159" s="198"/>
      <c r="AI159" s="198"/>
      <c r="AJ159" s="198"/>
      <c r="AK159" s="198"/>
      <c r="AL159" s="198"/>
      <c r="AM159" s="198"/>
      <c r="AN159" s="198"/>
      <c r="AO159" s="198"/>
      <c r="AP159" s="198"/>
      <c r="AQ159" s="198"/>
      <c r="AR159" s="15">
        <f t="shared" si="4"/>
        <v>23</v>
      </c>
    </row>
    <row r="160" spans="1:44" ht="18.75" customHeight="1">
      <c r="A160" s="198"/>
      <c r="B160" s="198"/>
      <c r="C160" s="198"/>
      <c r="D160" s="198"/>
      <c r="E160" s="198"/>
      <c r="F160" s="198"/>
      <c r="G160" s="198"/>
      <c r="H160" s="198"/>
      <c r="I160" s="198"/>
      <c r="J160" s="198"/>
      <c r="K160" s="198"/>
      <c r="L160" s="198"/>
      <c r="M160" s="198"/>
      <c r="N160" s="198"/>
      <c r="O160" s="198"/>
      <c r="P160" s="198"/>
      <c r="Q160" s="198"/>
      <c r="R160" s="198"/>
      <c r="S160" s="198"/>
      <c r="T160" s="198"/>
      <c r="U160" s="198"/>
      <c r="V160" s="198"/>
      <c r="W160" s="198"/>
      <c r="X160" s="198"/>
      <c r="Y160" s="198"/>
      <c r="Z160" s="198"/>
      <c r="AA160" s="198"/>
      <c r="AB160" s="198"/>
      <c r="AC160" s="198"/>
      <c r="AD160" s="198"/>
      <c r="AE160" s="198"/>
      <c r="AF160" s="198"/>
      <c r="AG160" s="198"/>
      <c r="AH160" s="198"/>
      <c r="AI160" s="198"/>
      <c r="AJ160" s="198"/>
      <c r="AK160" s="198"/>
      <c r="AL160" s="198"/>
      <c r="AM160" s="198"/>
      <c r="AN160" s="198"/>
      <c r="AO160" s="198"/>
      <c r="AP160" s="198"/>
      <c r="AQ160" s="198"/>
      <c r="AR160" s="15">
        <f t="shared" si="4"/>
        <v>24</v>
      </c>
    </row>
    <row r="161" spans="1:48" ht="18.75" customHeight="1">
      <c r="A161" s="198"/>
      <c r="B161" s="198"/>
      <c r="C161" s="198"/>
      <c r="D161" s="198"/>
      <c r="E161" s="198"/>
      <c r="F161" s="198"/>
      <c r="G161" s="198"/>
      <c r="H161" s="198"/>
      <c r="I161" s="198"/>
      <c r="J161" s="198"/>
      <c r="K161" s="198"/>
      <c r="L161" s="198"/>
      <c r="M161" s="198"/>
      <c r="N161" s="198"/>
      <c r="O161" s="198"/>
      <c r="P161" s="198"/>
      <c r="Q161" s="198"/>
      <c r="R161" s="198"/>
      <c r="S161" s="198"/>
      <c r="T161" s="198"/>
      <c r="U161" s="198"/>
      <c r="V161" s="198"/>
      <c r="W161" s="198"/>
      <c r="X161" s="198"/>
      <c r="Y161" s="198"/>
      <c r="Z161" s="198"/>
      <c r="AA161" s="198"/>
      <c r="AB161" s="198"/>
      <c r="AC161" s="198"/>
      <c r="AD161" s="198"/>
      <c r="AE161" s="198"/>
      <c r="AF161" s="198"/>
      <c r="AG161" s="198"/>
      <c r="AH161" s="198"/>
      <c r="AI161" s="198"/>
      <c r="AJ161" s="198"/>
      <c r="AK161" s="198"/>
      <c r="AL161" s="198"/>
      <c r="AM161" s="198"/>
      <c r="AN161" s="198"/>
      <c r="AO161" s="198"/>
      <c r="AP161" s="198"/>
      <c r="AQ161" s="198"/>
      <c r="AR161" s="15">
        <f t="shared" si="4"/>
        <v>25</v>
      </c>
    </row>
    <row r="162" spans="1:48" ht="18.75" customHeight="1">
      <c r="A162" s="198"/>
      <c r="B162" s="198"/>
      <c r="C162" s="198"/>
      <c r="D162" s="198"/>
      <c r="E162" s="198"/>
      <c r="F162" s="198"/>
      <c r="G162" s="198"/>
      <c r="H162" s="198"/>
      <c r="I162" s="198"/>
      <c r="J162" s="198"/>
      <c r="K162" s="198"/>
      <c r="L162" s="198"/>
      <c r="M162" s="198"/>
      <c r="N162" s="198"/>
      <c r="O162" s="198"/>
      <c r="P162" s="198"/>
      <c r="Q162" s="198"/>
      <c r="R162" s="198"/>
      <c r="S162" s="198"/>
      <c r="T162" s="198"/>
      <c r="U162" s="198"/>
      <c r="V162" s="198"/>
      <c r="W162" s="198"/>
      <c r="X162" s="198"/>
      <c r="Y162" s="198"/>
      <c r="Z162" s="198"/>
      <c r="AA162" s="198"/>
      <c r="AB162" s="198"/>
      <c r="AC162" s="198"/>
      <c r="AD162" s="198"/>
      <c r="AE162" s="198"/>
      <c r="AF162" s="198"/>
      <c r="AG162" s="198"/>
      <c r="AH162" s="198"/>
      <c r="AI162" s="198"/>
      <c r="AJ162" s="198"/>
      <c r="AK162" s="198"/>
      <c r="AL162" s="198"/>
      <c r="AM162" s="198"/>
      <c r="AN162" s="198"/>
      <c r="AO162" s="198"/>
      <c r="AP162" s="198"/>
      <c r="AQ162" s="198"/>
      <c r="AR162" s="15">
        <f t="shared" si="4"/>
        <v>26</v>
      </c>
    </row>
    <row r="163" spans="1:48" ht="18.75" customHeight="1">
      <c r="A163" s="198"/>
      <c r="B163" s="198"/>
      <c r="C163" s="198"/>
      <c r="D163" s="198"/>
      <c r="E163" s="198"/>
      <c r="F163" s="198"/>
      <c r="G163" s="198"/>
      <c r="H163" s="198"/>
      <c r="I163" s="198"/>
      <c r="J163" s="198"/>
      <c r="K163" s="198"/>
      <c r="L163" s="198"/>
      <c r="M163" s="198"/>
      <c r="N163" s="198"/>
      <c r="O163" s="198"/>
      <c r="P163" s="198"/>
      <c r="Q163" s="198"/>
      <c r="R163" s="198"/>
      <c r="S163" s="198"/>
      <c r="T163" s="198"/>
      <c r="U163" s="198"/>
      <c r="V163" s="198"/>
      <c r="W163" s="198"/>
      <c r="X163" s="198"/>
      <c r="Y163" s="198"/>
      <c r="Z163" s="198"/>
      <c r="AA163" s="198"/>
      <c r="AB163" s="198"/>
      <c r="AC163" s="198"/>
      <c r="AD163" s="198"/>
      <c r="AE163" s="198"/>
      <c r="AF163" s="198"/>
      <c r="AG163" s="198"/>
      <c r="AH163" s="198"/>
      <c r="AI163" s="198"/>
      <c r="AJ163" s="198"/>
      <c r="AK163" s="198"/>
      <c r="AL163" s="198"/>
      <c r="AM163" s="198"/>
      <c r="AN163" s="198"/>
      <c r="AO163" s="198"/>
      <c r="AP163" s="198"/>
      <c r="AQ163" s="198"/>
      <c r="AR163" s="15">
        <f t="shared" si="4"/>
        <v>27</v>
      </c>
    </row>
    <row r="164" spans="1:48" ht="18.75" customHeight="1">
      <c r="A164" s="198"/>
      <c r="B164" s="198"/>
      <c r="C164" s="198"/>
      <c r="D164" s="198"/>
      <c r="E164" s="198"/>
      <c r="F164" s="198"/>
      <c r="G164" s="198"/>
      <c r="H164" s="198"/>
      <c r="I164" s="198"/>
      <c r="J164" s="198"/>
      <c r="K164" s="198"/>
      <c r="L164" s="198"/>
      <c r="M164" s="198"/>
      <c r="N164" s="198"/>
      <c r="O164" s="198"/>
      <c r="P164" s="198"/>
      <c r="Q164" s="198"/>
      <c r="R164" s="198"/>
      <c r="S164" s="198"/>
      <c r="T164" s="198"/>
      <c r="U164" s="198"/>
      <c r="V164" s="198"/>
      <c r="W164" s="198"/>
      <c r="X164" s="198"/>
      <c r="Y164" s="198"/>
      <c r="Z164" s="198"/>
      <c r="AA164" s="198"/>
      <c r="AB164" s="198"/>
      <c r="AC164" s="198"/>
      <c r="AD164" s="198"/>
      <c r="AE164" s="198"/>
      <c r="AF164" s="198"/>
      <c r="AG164" s="198"/>
      <c r="AH164" s="198"/>
      <c r="AI164" s="198"/>
      <c r="AJ164" s="198"/>
      <c r="AK164" s="198"/>
      <c r="AL164" s="198"/>
      <c r="AM164" s="198"/>
      <c r="AN164" s="198"/>
      <c r="AO164" s="198"/>
      <c r="AP164" s="198"/>
      <c r="AQ164" s="198"/>
      <c r="AR164" s="15">
        <f t="shared" si="4"/>
        <v>28</v>
      </c>
    </row>
    <row r="165" spans="1:48" ht="18.75" customHeight="1">
      <c r="A165" s="198"/>
      <c r="B165" s="198"/>
      <c r="C165" s="198"/>
      <c r="D165" s="198"/>
      <c r="E165" s="198"/>
      <c r="F165" s="198"/>
      <c r="G165" s="198"/>
      <c r="H165" s="198"/>
      <c r="I165" s="198"/>
      <c r="J165" s="198"/>
      <c r="K165" s="198"/>
      <c r="L165" s="198"/>
      <c r="M165" s="198"/>
      <c r="N165" s="198"/>
      <c r="O165" s="198"/>
      <c r="P165" s="198"/>
      <c r="Q165" s="198"/>
      <c r="R165" s="198"/>
      <c r="S165" s="198"/>
      <c r="T165" s="198"/>
      <c r="U165" s="198"/>
      <c r="V165" s="198"/>
      <c r="W165" s="198"/>
      <c r="X165" s="198"/>
      <c r="Y165" s="198"/>
      <c r="Z165" s="198"/>
      <c r="AA165" s="198"/>
      <c r="AB165" s="198"/>
      <c r="AC165" s="198"/>
      <c r="AD165" s="198"/>
      <c r="AE165" s="198"/>
      <c r="AF165" s="198"/>
      <c r="AG165" s="198"/>
      <c r="AH165" s="198"/>
      <c r="AI165" s="198"/>
      <c r="AJ165" s="198"/>
      <c r="AK165" s="198"/>
      <c r="AL165" s="198"/>
      <c r="AM165" s="198"/>
      <c r="AN165" s="198"/>
      <c r="AO165" s="198"/>
      <c r="AP165" s="198"/>
      <c r="AQ165" s="198"/>
      <c r="AR165" s="15">
        <f t="shared" si="4"/>
        <v>29</v>
      </c>
    </row>
    <row r="166" spans="1:48" ht="18.75" customHeight="1">
      <c r="A166" s="198"/>
      <c r="B166" s="198"/>
      <c r="C166" s="198"/>
      <c r="D166" s="198"/>
      <c r="E166" s="198"/>
      <c r="F166" s="198"/>
      <c r="G166" s="198"/>
      <c r="H166" s="198"/>
      <c r="I166" s="198"/>
      <c r="J166" s="198"/>
      <c r="K166" s="198"/>
      <c r="L166" s="198"/>
      <c r="M166" s="198"/>
      <c r="N166" s="198"/>
      <c r="O166" s="198"/>
      <c r="P166" s="198"/>
      <c r="Q166" s="198"/>
      <c r="R166" s="198"/>
      <c r="S166" s="198"/>
      <c r="T166" s="198"/>
      <c r="U166" s="198"/>
      <c r="V166" s="198"/>
      <c r="W166" s="198"/>
      <c r="X166" s="198"/>
      <c r="Y166" s="198"/>
      <c r="Z166" s="198"/>
      <c r="AA166" s="198"/>
      <c r="AB166" s="198"/>
      <c r="AC166" s="198"/>
      <c r="AD166" s="198"/>
      <c r="AE166" s="198"/>
      <c r="AF166" s="198"/>
      <c r="AG166" s="198"/>
      <c r="AH166" s="198"/>
      <c r="AI166" s="198"/>
      <c r="AJ166" s="198"/>
      <c r="AK166" s="198"/>
      <c r="AL166" s="198"/>
      <c r="AM166" s="198"/>
      <c r="AN166" s="198"/>
      <c r="AO166" s="198"/>
      <c r="AP166" s="198"/>
      <c r="AQ166" s="198"/>
      <c r="AR166" s="15">
        <f t="shared" si="4"/>
        <v>30</v>
      </c>
    </row>
    <row r="167" spans="1:48" ht="18.75" customHeight="1">
      <c r="A167" s="198"/>
      <c r="B167" s="198"/>
      <c r="C167" s="198"/>
      <c r="D167" s="198"/>
      <c r="E167" s="198"/>
      <c r="F167" s="198"/>
      <c r="G167" s="198"/>
      <c r="H167" s="198"/>
      <c r="I167" s="198"/>
      <c r="J167" s="198"/>
      <c r="K167" s="198"/>
      <c r="L167" s="198"/>
      <c r="M167" s="198"/>
      <c r="N167" s="198"/>
      <c r="O167" s="198"/>
      <c r="P167" s="198"/>
      <c r="Q167" s="198"/>
      <c r="R167" s="198"/>
      <c r="S167" s="198"/>
      <c r="T167" s="198"/>
      <c r="U167" s="198"/>
      <c r="V167" s="198"/>
      <c r="W167" s="198"/>
      <c r="X167" s="198"/>
      <c r="Y167" s="198"/>
      <c r="Z167" s="198"/>
      <c r="AA167" s="198"/>
      <c r="AB167" s="198"/>
      <c r="AC167" s="198"/>
      <c r="AD167" s="198"/>
      <c r="AE167" s="198"/>
      <c r="AF167" s="198"/>
      <c r="AG167" s="198"/>
      <c r="AH167" s="198"/>
      <c r="AI167" s="198"/>
      <c r="AJ167" s="198"/>
      <c r="AK167" s="198"/>
      <c r="AL167" s="198"/>
      <c r="AM167" s="198"/>
      <c r="AN167" s="198"/>
      <c r="AO167" s="198"/>
      <c r="AP167" s="198"/>
      <c r="AQ167" s="198"/>
      <c r="AR167" s="15">
        <f t="shared" si="4"/>
        <v>31</v>
      </c>
    </row>
    <row r="168" spans="1:48" ht="18.75" customHeight="1">
      <c r="A168" s="198"/>
      <c r="B168" s="198"/>
      <c r="C168" s="198"/>
      <c r="D168" s="198"/>
      <c r="E168" s="198"/>
      <c r="F168" s="198"/>
      <c r="G168" s="198"/>
      <c r="H168" s="198"/>
      <c r="I168" s="198"/>
      <c r="J168" s="198"/>
      <c r="K168" s="198"/>
      <c r="L168" s="198"/>
      <c r="M168" s="198"/>
      <c r="N168" s="198"/>
      <c r="O168" s="198"/>
      <c r="P168" s="198"/>
      <c r="Q168" s="198"/>
      <c r="R168" s="198"/>
      <c r="S168" s="198"/>
      <c r="T168" s="198"/>
      <c r="U168" s="198"/>
      <c r="V168" s="198"/>
      <c r="W168" s="198"/>
      <c r="X168" s="198"/>
      <c r="Y168" s="198"/>
      <c r="Z168" s="198"/>
      <c r="AA168" s="198"/>
      <c r="AB168" s="198"/>
      <c r="AC168" s="198"/>
      <c r="AD168" s="198"/>
      <c r="AE168" s="198"/>
      <c r="AF168" s="198"/>
      <c r="AG168" s="198"/>
      <c r="AH168" s="198"/>
      <c r="AI168" s="198"/>
      <c r="AJ168" s="198"/>
      <c r="AK168" s="198"/>
      <c r="AL168" s="198"/>
      <c r="AM168" s="198"/>
      <c r="AN168" s="198"/>
      <c r="AO168" s="198"/>
      <c r="AP168" s="198"/>
      <c r="AQ168" s="198"/>
      <c r="AR168" s="15">
        <f t="shared" si="4"/>
        <v>32</v>
      </c>
    </row>
    <row r="169" spans="1:48" ht="18.75" customHeight="1">
      <c r="A169" s="198"/>
      <c r="B169" s="198"/>
      <c r="C169" s="198"/>
      <c r="D169" s="198"/>
      <c r="E169" s="198"/>
      <c r="F169" s="198"/>
      <c r="G169" s="198"/>
      <c r="H169" s="198"/>
      <c r="I169" s="198"/>
      <c r="J169" s="198"/>
      <c r="K169" s="198"/>
      <c r="L169" s="198"/>
      <c r="M169" s="198"/>
      <c r="N169" s="198"/>
      <c r="O169" s="198"/>
      <c r="P169" s="198"/>
      <c r="Q169" s="198"/>
      <c r="R169" s="198"/>
      <c r="S169" s="198"/>
      <c r="T169" s="198"/>
      <c r="U169" s="198"/>
      <c r="V169" s="198"/>
      <c r="W169" s="198"/>
      <c r="X169" s="198"/>
      <c r="Y169" s="198"/>
      <c r="Z169" s="198"/>
      <c r="AA169" s="198"/>
      <c r="AB169" s="198"/>
      <c r="AC169" s="198"/>
      <c r="AD169" s="198"/>
      <c r="AE169" s="198"/>
      <c r="AF169" s="198"/>
      <c r="AG169" s="198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15">
        <f t="shared" si="4"/>
        <v>33</v>
      </c>
    </row>
    <row r="170" spans="1:48" ht="18.75" customHeight="1">
      <c r="A170" s="198"/>
      <c r="B170" s="198"/>
      <c r="C170" s="198"/>
      <c r="D170" s="198"/>
      <c r="E170" s="198"/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  <c r="P170" s="198"/>
      <c r="Q170" s="198"/>
      <c r="R170" s="198"/>
      <c r="S170" s="198"/>
      <c r="T170" s="198"/>
      <c r="U170" s="198"/>
      <c r="V170" s="198"/>
      <c r="W170" s="198"/>
      <c r="X170" s="198"/>
      <c r="Y170" s="198"/>
      <c r="Z170" s="198"/>
      <c r="AA170" s="198"/>
      <c r="AB170" s="198"/>
      <c r="AC170" s="198"/>
      <c r="AD170" s="198"/>
      <c r="AE170" s="198"/>
      <c r="AF170" s="198"/>
      <c r="AG170" s="198"/>
      <c r="AH170" s="198"/>
      <c r="AI170" s="198"/>
      <c r="AJ170" s="198"/>
      <c r="AK170" s="198"/>
      <c r="AL170" s="198"/>
      <c r="AM170" s="198"/>
      <c r="AN170" s="198"/>
      <c r="AO170" s="198"/>
      <c r="AP170" s="198"/>
      <c r="AQ170" s="198"/>
      <c r="AR170" s="15">
        <f t="shared" si="4"/>
        <v>34</v>
      </c>
    </row>
    <row r="171" spans="1:48" ht="16.5" customHeight="1">
      <c r="A171" s="197"/>
      <c r="B171" s="197"/>
      <c r="AI171" s="200" t="str">
        <f>'1'!$AI$1</f>
        <v>R4健障障第100号</v>
      </c>
      <c r="AJ171" s="200"/>
      <c r="AK171" s="200"/>
      <c r="AL171" s="200"/>
      <c r="AM171" s="200"/>
      <c r="AN171" s="200"/>
      <c r="AO171" s="200"/>
      <c r="AP171" s="200"/>
      <c r="AQ171" s="200"/>
      <c r="AR171" s="15">
        <v>1</v>
      </c>
    </row>
    <row r="172" spans="1:48" ht="16.5" customHeight="1">
      <c r="A172" s="197"/>
      <c r="B172" s="197"/>
      <c r="AI172" s="201">
        <f>'1'!$AI$2</f>
        <v>44677</v>
      </c>
      <c r="AJ172" s="201"/>
      <c r="AK172" s="201"/>
      <c r="AL172" s="201"/>
      <c r="AM172" s="201"/>
      <c r="AN172" s="201"/>
      <c r="AO172" s="201"/>
      <c r="AP172" s="201"/>
      <c r="AQ172" s="201"/>
      <c r="AR172" s="15">
        <f>AR171+1</f>
        <v>2</v>
      </c>
    </row>
    <row r="173" spans="1:48" ht="18.75" customHeight="1">
      <c r="A173" s="198"/>
      <c r="B173" s="198"/>
      <c r="C173" s="198"/>
      <c r="D173" s="198"/>
      <c r="E173" s="198"/>
      <c r="F173" s="198"/>
      <c r="G173" s="198"/>
      <c r="H173" s="198"/>
      <c r="I173" s="198"/>
      <c r="J173" s="198"/>
      <c r="K173" s="198"/>
      <c r="L173" s="198"/>
      <c r="M173" s="198"/>
      <c r="N173" s="198"/>
      <c r="O173" s="198"/>
      <c r="P173" s="198"/>
      <c r="Q173" s="198"/>
      <c r="R173" s="198"/>
      <c r="S173" s="198"/>
      <c r="T173" s="198"/>
      <c r="U173" s="198"/>
      <c r="V173" s="198"/>
      <c r="W173" s="198"/>
      <c r="X173" s="198"/>
      <c r="Y173" s="198"/>
      <c r="Z173" s="198"/>
      <c r="AA173" s="198"/>
      <c r="AB173" s="198"/>
      <c r="AC173" s="198"/>
      <c r="AD173" s="198"/>
      <c r="AE173" s="198"/>
      <c r="AF173" s="198"/>
      <c r="AG173" s="198"/>
      <c r="AH173" s="198"/>
      <c r="AI173" s="198"/>
      <c r="AJ173" s="198"/>
      <c r="AK173" s="198"/>
      <c r="AL173" s="198"/>
      <c r="AM173" s="198"/>
      <c r="AN173" s="198"/>
      <c r="AO173" s="198"/>
      <c r="AP173" s="198"/>
      <c r="AQ173" s="198"/>
      <c r="AR173" s="15">
        <f t="shared" ref="AR173:AR204" si="5">AR172+1</f>
        <v>3</v>
      </c>
    </row>
    <row r="174" spans="1:48" ht="18.75" customHeight="1">
      <c r="A174" s="199" t="str">
        <f>INDEX(送付先一覧!A:O,MATCH(AV174,送付先一覧!A:A,0),4)</f>
        <v>特定非営利活動法人自閉症ピアリンクセンターここねっと</v>
      </c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  <c r="W174" s="199"/>
      <c r="X174" s="199"/>
      <c r="Y174" s="199"/>
      <c r="Z174" s="199"/>
      <c r="AA174" s="199"/>
      <c r="AB174" s="199"/>
      <c r="AC174" s="199"/>
      <c r="AD174" s="199"/>
      <c r="AE174" s="199"/>
      <c r="AF174" s="199"/>
      <c r="AG174" s="199"/>
      <c r="AH174" s="199"/>
      <c r="AI174" s="199"/>
      <c r="AJ174" s="199"/>
      <c r="AK174" s="199"/>
      <c r="AL174" s="199"/>
      <c r="AM174" s="199"/>
      <c r="AN174" s="199"/>
      <c r="AO174" s="199"/>
      <c r="AP174" s="199"/>
      <c r="AQ174" s="199"/>
      <c r="AR174" s="15">
        <f t="shared" si="5"/>
        <v>4</v>
      </c>
      <c r="AV174" s="65">
        <f>AV140+1</f>
        <v>46</v>
      </c>
    </row>
    <row r="175" spans="1:48" ht="18.75" customHeight="1">
      <c r="A175" s="202" t="str">
        <f>INDEX(送付先一覧!A:O,MATCH(AV174,送付先一覧!A:A,0),5)</f>
        <v>理事長　涌澤　圭介</v>
      </c>
      <c r="B175" s="202"/>
      <c r="C175" s="202"/>
      <c r="D175" s="202"/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15">
        <f t="shared" si="5"/>
        <v>5</v>
      </c>
    </row>
    <row r="176" spans="1:48" ht="18.75" customHeight="1">
      <c r="A176" s="198"/>
      <c r="B176" s="198"/>
      <c r="C176" s="198"/>
      <c r="D176" s="198"/>
      <c r="E176" s="198"/>
      <c r="F176" s="198"/>
      <c r="G176" s="198"/>
      <c r="H176" s="198"/>
      <c r="I176" s="198"/>
      <c r="J176" s="198"/>
      <c r="K176" s="198"/>
      <c r="L176" s="198"/>
      <c r="M176" s="198"/>
      <c r="N176" s="198"/>
      <c r="O176" s="198"/>
      <c r="P176" s="198"/>
      <c r="Q176" s="198"/>
      <c r="R176" s="198"/>
      <c r="S176" s="198"/>
      <c r="T176" s="198"/>
      <c r="U176" s="198"/>
      <c r="V176" s="198"/>
      <c r="W176" s="198"/>
      <c r="X176" s="198"/>
      <c r="Y176" s="198"/>
      <c r="Z176" s="198"/>
      <c r="AA176" s="198"/>
      <c r="AB176" s="198"/>
      <c r="AC176" s="198"/>
      <c r="AD176" s="198"/>
      <c r="AE176" s="198"/>
      <c r="AF176" s="198"/>
      <c r="AG176" s="198"/>
      <c r="AH176" s="198"/>
      <c r="AI176" s="198"/>
      <c r="AJ176" s="198"/>
      <c r="AK176" s="198"/>
      <c r="AL176" s="198"/>
      <c r="AM176" s="198"/>
      <c r="AN176" s="198"/>
      <c r="AO176" s="198"/>
      <c r="AP176" s="198"/>
      <c r="AQ176" s="198"/>
      <c r="AR176" s="15">
        <f t="shared" si="5"/>
        <v>6</v>
      </c>
    </row>
    <row r="177" spans="1:44" ht="18.75" customHeight="1">
      <c r="V177" s="199" t="str">
        <f>'1'!$V$7</f>
        <v>仙台市健康福祉局障害福祉部障害企画課長　　</v>
      </c>
      <c r="W177" s="199"/>
      <c r="X177" s="199"/>
      <c r="Y177" s="199"/>
      <c r="Z177" s="199"/>
      <c r="AA177" s="199"/>
      <c r="AB177" s="199"/>
      <c r="AC177" s="199"/>
      <c r="AD177" s="199"/>
      <c r="AE177" s="199"/>
      <c r="AF177" s="199"/>
      <c r="AG177" s="199"/>
      <c r="AH177" s="199"/>
      <c r="AI177" s="199"/>
      <c r="AJ177" s="199"/>
      <c r="AK177" s="199"/>
      <c r="AL177" s="199"/>
      <c r="AM177" s="199"/>
      <c r="AN177" s="199"/>
      <c r="AO177" s="199"/>
      <c r="AP177" s="199"/>
      <c r="AQ177" s="199"/>
      <c r="AR177" s="15">
        <f t="shared" si="5"/>
        <v>7</v>
      </c>
    </row>
    <row r="178" spans="1:44" ht="18.75" customHeight="1">
      <c r="V178" s="199" t="str">
        <f>'1'!$V$8</f>
        <v>仙台市健康福祉局障害福祉部障害者支援課長　</v>
      </c>
      <c r="W178" s="199"/>
      <c r="X178" s="199"/>
      <c r="Y178" s="199"/>
      <c r="Z178" s="199"/>
      <c r="AA178" s="199"/>
      <c r="AB178" s="199"/>
      <c r="AC178" s="199"/>
      <c r="AD178" s="199"/>
      <c r="AE178" s="199"/>
      <c r="AF178" s="199"/>
      <c r="AG178" s="199"/>
      <c r="AH178" s="199"/>
      <c r="AI178" s="199"/>
      <c r="AJ178" s="199"/>
      <c r="AK178" s="199"/>
      <c r="AL178" s="199"/>
      <c r="AM178" s="199"/>
      <c r="AN178" s="199"/>
      <c r="AO178" s="199"/>
      <c r="AP178" s="199"/>
      <c r="AQ178" s="199"/>
      <c r="AR178" s="15">
        <f t="shared" si="5"/>
        <v>8</v>
      </c>
    </row>
    <row r="179" spans="1:44" ht="18.75" customHeight="1">
      <c r="A179" s="198"/>
      <c r="B179" s="198"/>
      <c r="C179" s="198"/>
      <c r="D179" s="198"/>
      <c r="E179" s="198"/>
      <c r="F179" s="198"/>
      <c r="G179" s="198"/>
      <c r="H179" s="198"/>
      <c r="I179" s="198"/>
      <c r="J179" s="198"/>
      <c r="K179" s="198"/>
      <c r="L179" s="198"/>
      <c r="M179" s="198"/>
      <c r="N179" s="198"/>
      <c r="O179" s="198"/>
      <c r="P179" s="198"/>
      <c r="Q179" s="198"/>
      <c r="R179" s="198"/>
      <c r="S179" s="198"/>
      <c r="T179" s="198"/>
      <c r="U179" s="198"/>
      <c r="V179" s="198"/>
      <c r="W179" s="198"/>
      <c r="X179" s="198"/>
      <c r="Y179" s="198"/>
      <c r="Z179" s="198"/>
      <c r="AA179" s="198"/>
      <c r="AB179" s="198"/>
      <c r="AC179" s="198"/>
      <c r="AD179" s="198"/>
      <c r="AE179" s="198"/>
      <c r="AF179" s="198"/>
      <c r="AG179" s="198"/>
      <c r="AH179" s="198"/>
      <c r="AI179" s="198"/>
      <c r="AJ179" s="198"/>
      <c r="AK179" s="198"/>
      <c r="AL179" s="198"/>
      <c r="AM179" s="198"/>
      <c r="AN179" s="198"/>
      <c r="AO179" s="198"/>
      <c r="AP179" s="198"/>
      <c r="AQ179" s="198"/>
      <c r="AR179" s="15">
        <f t="shared" si="5"/>
        <v>9</v>
      </c>
    </row>
    <row r="180" spans="1:44" ht="22.5" customHeight="1">
      <c r="A180" s="203" t="str">
        <f>'1'!$A$10</f>
        <v>令和４年度仙台市障害福祉分野のICT導入モデル事業補助金の内示について</v>
      </c>
      <c r="B180" s="203"/>
      <c r="C180" s="203"/>
      <c r="D180" s="203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15">
        <f t="shared" si="5"/>
        <v>10</v>
      </c>
    </row>
    <row r="181" spans="1:44" ht="18.75" customHeight="1">
      <c r="A181" s="198"/>
      <c r="B181" s="198"/>
      <c r="C181" s="198"/>
      <c r="D181" s="198"/>
      <c r="E181" s="198"/>
      <c r="F181" s="198"/>
      <c r="G181" s="198"/>
      <c r="H181" s="198"/>
      <c r="I181" s="198"/>
      <c r="J181" s="198"/>
      <c r="K181" s="198"/>
      <c r="L181" s="198"/>
      <c r="M181" s="198"/>
      <c r="N181" s="198"/>
      <c r="O181" s="198"/>
      <c r="P181" s="198"/>
      <c r="Q181" s="198"/>
      <c r="R181" s="198"/>
      <c r="S181" s="198"/>
      <c r="T181" s="198"/>
      <c r="U181" s="198"/>
      <c r="V181" s="198"/>
      <c r="W181" s="198"/>
      <c r="X181" s="198"/>
      <c r="Y181" s="198"/>
      <c r="Z181" s="198"/>
      <c r="AA181" s="198"/>
      <c r="AB181" s="198"/>
      <c r="AC181" s="198"/>
      <c r="AD181" s="198"/>
      <c r="AE181" s="198"/>
      <c r="AF181" s="198"/>
      <c r="AG181" s="198"/>
      <c r="AH181" s="198"/>
      <c r="AI181" s="198"/>
      <c r="AJ181" s="198"/>
      <c r="AK181" s="198"/>
      <c r="AL181" s="198"/>
      <c r="AM181" s="198"/>
      <c r="AN181" s="198"/>
      <c r="AO181" s="198"/>
      <c r="AP181" s="198"/>
      <c r="AQ181" s="198"/>
      <c r="AR181" s="15">
        <f t="shared" si="5"/>
        <v>11</v>
      </c>
    </row>
    <row r="182" spans="1:44" ht="93.75" customHeight="1">
      <c r="A182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82" s="205"/>
      <c r="C182" s="205"/>
      <c r="D182" s="205"/>
      <c r="E182" s="205"/>
      <c r="F182" s="205"/>
      <c r="G182" s="205"/>
      <c r="H182" s="205"/>
      <c r="I182" s="205"/>
      <c r="J182" s="205"/>
      <c r="K182" s="205"/>
      <c r="L182" s="205"/>
      <c r="M182" s="205"/>
      <c r="N182" s="205"/>
      <c r="O182" s="205"/>
      <c r="P182" s="205"/>
      <c r="Q182" s="205"/>
      <c r="R182" s="205"/>
      <c r="S182" s="205"/>
      <c r="T182" s="205"/>
      <c r="U182" s="205"/>
      <c r="V182" s="205"/>
      <c r="W182" s="205"/>
      <c r="X182" s="205"/>
      <c r="Y182" s="205"/>
      <c r="Z182" s="205"/>
      <c r="AA182" s="205"/>
      <c r="AB182" s="205"/>
      <c r="AC182" s="205"/>
      <c r="AD182" s="205"/>
      <c r="AE182" s="205"/>
      <c r="AF182" s="205"/>
      <c r="AG182" s="205"/>
      <c r="AH182" s="205"/>
      <c r="AI182" s="205"/>
      <c r="AJ182" s="205"/>
      <c r="AK182" s="205"/>
      <c r="AL182" s="205"/>
      <c r="AM182" s="205"/>
      <c r="AN182" s="205"/>
      <c r="AO182" s="205"/>
      <c r="AP182" s="205"/>
      <c r="AQ182" s="205"/>
      <c r="AR182" s="15">
        <f t="shared" si="5"/>
        <v>12</v>
      </c>
    </row>
    <row r="183" spans="1:44" ht="18.75" customHeight="1">
      <c r="A183" s="198"/>
      <c r="B183" s="198"/>
      <c r="C183" s="198"/>
      <c r="D183" s="198"/>
      <c r="E183" s="198"/>
      <c r="F183" s="198"/>
      <c r="G183" s="198"/>
      <c r="H183" s="198"/>
      <c r="I183" s="198"/>
      <c r="J183" s="198"/>
      <c r="K183" s="198"/>
      <c r="L183" s="198"/>
      <c r="M183" s="198"/>
      <c r="N183" s="198"/>
      <c r="O183" s="198"/>
      <c r="P183" s="198"/>
      <c r="Q183" s="198"/>
      <c r="R183" s="198"/>
      <c r="S183" s="198"/>
      <c r="T183" s="198"/>
      <c r="U183" s="198"/>
      <c r="V183" s="198"/>
      <c r="W183" s="198"/>
      <c r="X183" s="198"/>
      <c r="Y183" s="198"/>
      <c r="Z183" s="198"/>
      <c r="AA183" s="198"/>
      <c r="AB183" s="198"/>
      <c r="AC183" s="198"/>
      <c r="AD183" s="198"/>
      <c r="AE183" s="198"/>
      <c r="AF183" s="198"/>
      <c r="AG183" s="198"/>
      <c r="AH183" s="198"/>
      <c r="AI183" s="198"/>
      <c r="AJ183" s="198"/>
      <c r="AK183" s="198"/>
      <c r="AL183" s="198"/>
      <c r="AM183" s="198"/>
      <c r="AN183" s="198"/>
      <c r="AO183" s="198"/>
      <c r="AP183" s="198"/>
      <c r="AQ183" s="198"/>
      <c r="AR183" s="15">
        <f t="shared" si="5"/>
        <v>13</v>
      </c>
    </row>
    <row r="184" spans="1:44" ht="18.75" customHeight="1">
      <c r="A184" s="197" t="str">
        <f>'1'!$A$14</f>
        <v>記</v>
      </c>
      <c r="B184" s="197"/>
      <c r="C184" s="197"/>
      <c r="D184" s="197"/>
      <c r="E184" s="197"/>
      <c r="F184" s="197"/>
      <c r="G184" s="197"/>
      <c r="H184" s="197"/>
      <c r="I184" s="197"/>
      <c r="J184" s="197"/>
      <c r="K184" s="197"/>
      <c r="L184" s="197"/>
      <c r="M184" s="197"/>
      <c r="N184" s="197"/>
      <c r="O184" s="197"/>
      <c r="P184" s="197"/>
      <c r="Q184" s="197"/>
      <c r="R184" s="197"/>
      <c r="S184" s="197"/>
      <c r="T184" s="197"/>
      <c r="U184" s="197"/>
      <c r="V184" s="197"/>
      <c r="W184" s="197"/>
      <c r="X184" s="197"/>
      <c r="Y184" s="197"/>
      <c r="Z184" s="197"/>
      <c r="AA184" s="197"/>
      <c r="AB184" s="197"/>
      <c r="AC184" s="197"/>
      <c r="AD184" s="197"/>
      <c r="AE184" s="197"/>
      <c r="AF184" s="197"/>
      <c r="AG184" s="197"/>
      <c r="AH184" s="197"/>
      <c r="AI184" s="197"/>
      <c r="AJ184" s="197"/>
      <c r="AK184" s="197"/>
      <c r="AL184" s="197"/>
      <c r="AM184" s="197"/>
      <c r="AN184" s="197"/>
      <c r="AO184" s="197"/>
      <c r="AP184" s="197"/>
      <c r="AQ184" s="197"/>
      <c r="AR184" s="15">
        <f t="shared" si="5"/>
        <v>14</v>
      </c>
    </row>
    <row r="185" spans="1:44" ht="18.75" customHeight="1">
      <c r="A185" s="198"/>
      <c r="B185" s="198"/>
      <c r="C185" s="198"/>
      <c r="D185" s="198"/>
      <c r="E185" s="198"/>
      <c r="F185" s="198"/>
      <c r="G185" s="198"/>
      <c r="H185" s="198"/>
      <c r="I185" s="198"/>
      <c r="J185" s="198"/>
      <c r="K185" s="198"/>
      <c r="L185" s="198"/>
      <c r="M185" s="198"/>
      <c r="N185" s="198"/>
      <c r="O185" s="198"/>
      <c r="P185" s="198"/>
      <c r="Q185" s="198"/>
      <c r="R185" s="198"/>
      <c r="S185" s="198"/>
      <c r="T185" s="198"/>
      <c r="U185" s="198"/>
      <c r="V185" s="198"/>
      <c r="W185" s="198"/>
      <c r="X185" s="198"/>
      <c r="Y185" s="198"/>
      <c r="Z185" s="198"/>
      <c r="AA185" s="198"/>
      <c r="AB185" s="198"/>
      <c r="AC185" s="198"/>
      <c r="AD185" s="198"/>
      <c r="AE185" s="198"/>
      <c r="AF185" s="198"/>
      <c r="AG185" s="198"/>
      <c r="AH185" s="198"/>
      <c r="AI185" s="198"/>
      <c r="AJ185" s="198"/>
      <c r="AK185" s="198"/>
      <c r="AL185" s="198"/>
      <c r="AM185" s="198"/>
      <c r="AN185" s="198"/>
      <c r="AO185" s="198"/>
      <c r="AP185" s="198"/>
      <c r="AQ185" s="198"/>
      <c r="AR185" s="15">
        <f t="shared" si="5"/>
        <v>15</v>
      </c>
    </row>
    <row r="186" spans="1:44" ht="18.75" customHeight="1">
      <c r="I186" s="199" t="str">
        <f>'1'!$I$16</f>
        <v>補助内示額</v>
      </c>
      <c r="J186" s="199"/>
      <c r="K186" s="199"/>
      <c r="L186" s="199"/>
      <c r="M186" s="199"/>
      <c r="N186" s="199"/>
      <c r="S186" s="206">
        <f>INDEX(送付先一覧!A:O,MATCH(AV174,送付先一覧!A:A,0),12)</f>
        <v>25000</v>
      </c>
      <c r="T186" s="206"/>
      <c r="U186" s="206"/>
      <c r="V186" s="206"/>
      <c r="W186" s="206"/>
      <c r="X186" s="206"/>
      <c r="Y186" s="206"/>
      <c r="Z186" s="206"/>
      <c r="AA186" s="206"/>
      <c r="AB186" s="206"/>
      <c r="AC186" s="206"/>
      <c r="AD186" s="206"/>
      <c r="AE186" s="206"/>
      <c r="AF186" s="199"/>
      <c r="AG186" s="199"/>
      <c r="AH186" s="199"/>
      <c r="AI186" s="199"/>
      <c r="AR186" s="15">
        <f t="shared" si="5"/>
        <v>16</v>
      </c>
    </row>
    <row r="187" spans="1:44" ht="18.75" customHeight="1">
      <c r="I187" s="199" t="str">
        <f>'1'!$I$17</f>
        <v>事業種別</v>
      </c>
      <c r="J187" s="199"/>
      <c r="K187" s="199"/>
      <c r="L187" s="199"/>
      <c r="M187" s="199"/>
      <c r="N187" s="199"/>
      <c r="O187" s="199"/>
      <c r="P187" s="199"/>
      <c r="Q187" s="199"/>
      <c r="R187" s="199"/>
      <c r="S187" s="199" t="str">
        <f>INDEX(送付先一覧!A:O,MATCH(AV174,送付先一覧!A:A,0),9)</f>
        <v>共同生活援助</v>
      </c>
      <c r="T187" s="199"/>
      <c r="U187" s="199"/>
      <c r="V187" s="199"/>
      <c r="W187" s="199"/>
      <c r="X187" s="199"/>
      <c r="Y187" s="199"/>
      <c r="Z187" s="199"/>
      <c r="AA187" s="199"/>
      <c r="AB187" s="199"/>
      <c r="AC187" s="199"/>
      <c r="AD187" s="199"/>
      <c r="AE187" s="199"/>
      <c r="AF187" s="199"/>
      <c r="AG187" s="199"/>
      <c r="AH187" s="199"/>
      <c r="AI187" s="199"/>
      <c r="AJ187" s="199"/>
      <c r="AK187" s="199"/>
      <c r="AL187" s="199"/>
      <c r="AM187" s="199"/>
      <c r="AN187" s="199"/>
      <c r="AO187" s="199"/>
      <c r="AP187" s="199"/>
      <c r="AR187" s="15">
        <f t="shared" si="5"/>
        <v>17</v>
      </c>
    </row>
    <row r="188" spans="1:44" ht="18.75" customHeight="1">
      <c r="I188" s="199" t="str">
        <f>'1'!$I$18</f>
        <v>事業所名</v>
      </c>
      <c r="J188" s="199"/>
      <c r="K188" s="199"/>
      <c r="L188" s="199"/>
      <c r="M188" s="199"/>
      <c r="N188" s="199"/>
      <c r="O188" s="199"/>
      <c r="P188" s="199"/>
      <c r="Q188" s="199"/>
      <c r="R188" s="199"/>
      <c r="S188" s="204" t="str">
        <f>INDEX(送付先一覧!A:O,MATCH(AV174,送付先一覧!A:A,0),8)</f>
        <v>ここねっとホーム</v>
      </c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15">
        <f t="shared" si="5"/>
        <v>18</v>
      </c>
    </row>
    <row r="189" spans="1:44" ht="18.75" customHeight="1">
      <c r="I189" s="198"/>
      <c r="J189" s="198"/>
      <c r="K189" s="198"/>
      <c r="L189" s="198"/>
      <c r="M189" s="198"/>
      <c r="N189" s="198"/>
      <c r="O189" s="198"/>
      <c r="P189" s="198"/>
      <c r="Q189" s="198"/>
      <c r="R189" s="198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  <c r="AH189" s="66"/>
      <c r="AI189" s="66"/>
      <c r="AJ189" s="66"/>
      <c r="AK189" s="66"/>
      <c r="AL189" s="66"/>
      <c r="AM189" s="66"/>
      <c r="AN189" s="66"/>
      <c r="AO189" s="66"/>
      <c r="AP189" s="66"/>
      <c r="AQ189" s="66"/>
      <c r="AR189" s="15">
        <f t="shared" si="5"/>
        <v>19</v>
      </c>
    </row>
    <row r="190" spans="1:44" ht="18.75" customHeight="1">
      <c r="I190" s="198"/>
      <c r="J190" s="198"/>
      <c r="K190" s="198"/>
      <c r="L190" s="198"/>
      <c r="M190" s="198"/>
      <c r="N190" s="198"/>
      <c r="O190" s="198"/>
      <c r="P190" s="198"/>
      <c r="Q190" s="198"/>
      <c r="R190" s="198"/>
      <c r="S190" s="198"/>
      <c r="T190" s="198"/>
      <c r="U190" s="198"/>
      <c r="V190" s="198"/>
      <c r="W190" s="198"/>
      <c r="X190" s="198"/>
      <c r="Y190" s="198"/>
      <c r="Z190" s="198"/>
      <c r="AA190" s="198"/>
      <c r="AB190" s="198"/>
      <c r="AC190" s="198"/>
      <c r="AD190" s="198"/>
      <c r="AE190" s="198"/>
      <c r="AF190" s="198"/>
      <c r="AG190" s="198"/>
      <c r="AH190" s="198"/>
      <c r="AI190" s="198"/>
      <c r="AR190" s="15">
        <f t="shared" si="5"/>
        <v>20</v>
      </c>
    </row>
    <row r="191" spans="1:44" ht="18.75" customHeight="1">
      <c r="A191" s="198"/>
      <c r="B191" s="198"/>
      <c r="C191" s="198"/>
      <c r="D191" s="198"/>
      <c r="E191" s="198"/>
      <c r="F191" s="198"/>
      <c r="G191" s="198"/>
      <c r="H191" s="198"/>
      <c r="I191" s="198"/>
      <c r="J191" s="198"/>
      <c r="K191" s="198"/>
      <c r="L191" s="198"/>
      <c r="M191" s="198"/>
      <c r="N191" s="198"/>
      <c r="O191" s="198"/>
      <c r="P191" s="198"/>
      <c r="Q191" s="198"/>
      <c r="R191" s="198"/>
      <c r="S191" s="198"/>
      <c r="T191" s="198"/>
      <c r="U191" s="198"/>
      <c r="V191" s="198"/>
      <c r="W191" s="198"/>
      <c r="X191" s="198"/>
      <c r="Y191" s="198"/>
      <c r="Z191" s="198"/>
      <c r="AA191" s="198"/>
      <c r="AB191" s="198"/>
      <c r="AC191" s="198"/>
      <c r="AD191" s="198"/>
      <c r="AE191" s="198"/>
      <c r="AF191" s="198"/>
      <c r="AG191" s="198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5">
        <f t="shared" si="5"/>
        <v>21</v>
      </c>
    </row>
    <row r="192" spans="1:44" ht="18.75" customHeight="1">
      <c r="A192" s="198"/>
      <c r="B192" s="198"/>
      <c r="C192" s="198"/>
      <c r="D192" s="198"/>
      <c r="E192" s="198"/>
      <c r="F192" s="198"/>
      <c r="G192" s="198"/>
      <c r="H192" s="198"/>
      <c r="I192" s="198"/>
      <c r="J192" s="198"/>
      <c r="K192" s="198"/>
      <c r="L192" s="198"/>
      <c r="M192" s="198"/>
      <c r="N192" s="198"/>
      <c r="O192" s="198"/>
      <c r="P192" s="198"/>
      <c r="Q192" s="198"/>
      <c r="R192" s="198"/>
      <c r="S192" s="198"/>
      <c r="T192" s="198"/>
      <c r="U192" s="198"/>
      <c r="V192" s="198"/>
      <c r="W192" s="198"/>
      <c r="X192" s="198"/>
      <c r="Y192" s="198"/>
      <c r="Z192" s="198"/>
      <c r="AA192" s="198"/>
      <c r="AB192" s="198"/>
      <c r="AC192" s="198"/>
      <c r="AD192" s="198"/>
      <c r="AE192" s="198"/>
      <c r="AF192" s="198"/>
      <c r="AG192" s="198"/>
      <c r="AH192" s="198"/>
      <c r="AI192" s="198"/>
      <c r="AJ192" s="198"/>
      <c r="AK192" s="198"/>
      <c r="AL192" s="198"/>
      <c r="AM192" s="198"/>
      <c r="AN192" s="198"/>
      <c r="AO192" s="198"/>
      <c r="AP192" s="198"/>
      <c r="AQ192" s="198"/>
      <c r="AR192" s="15">
        <f t="shared" si="5"/>
        <v>22</v>
      </c>
    </row>
    <row r="193" spans="1:44" ht="18.75" customHeight="1">
      <c r="A193" s="198"/>
      <c r="B193" s="198"/>
      <c r="C193" s="198"/>
      <c r="D193" s="198"/>
      <c r="E193" s="198"/>
      <c r="F193" s="198"/>
      <c r="G193" s="198"/>
      <c r="H193" s="198"/>
      <c r="I193" s="198"/>
      <c r="J193" s="198"/>
      <c r="K193" s="198"/>
      <c r="L193" s="198"/>
      <c r="M193" s="198"/>
      <c r="N193" s="198"/>
      <c r="O193" s="198"/>
      <c r="P193" s="198"/>
      <c r="Q193" s="198"/>
      <c r="R193" s="198"/>
      <c r="S193" s="198"/>
      <c r="T193" s="198"/>
      <c r="U193" s="198"/>
      <c r="V193" s="198"/>
      <c r="W193" s="198"/>
      <c r="X193" s="198"/>
      <c r="Y193" s="198"/>
      <c r="Z193" s="198"/>
      <c r="AA193" s="198"/>
      <c r="AB193" s="198"/>
      <c r="AC193" s="198"/>
      <c r="AD193" s="198"/>
      <c r="AE193" s="198"/>
      <c r="AF193" s="198"/>
      <c r="AG193" s="198"/>
      <c r="AH193" s="198"/>
      <c r="AI193" s="198"/>
      <c r="AJ193" s="198"/>
      <c r="AK193" s="198"/>
      <c r="AL193" s="198"/>
      <c r="AM193" s="198"/>
      <c r="AN193" s="198"/>
      <c r="AO193" s="198"/>
      <c r="AP193" s="198"/>
      <c r="AQ193" s="198"/>
      <c r="AR193" s="15">
        <f t="shared" si="5"/>
        <v>23</v>
      </c>
    </row>
    <row r="194" spans="1:44" ht="18.75" customHeight="1">
      <c r="A194" s="198"/>
      <c r="B194" s="198"/>
      <c r="C194" s="198"/>
      <c r="D194" s="198"/>
      <c r="E194" s="198"/>
      <c r="F194" s="198"/>
      <c r="G194" s="198"/>
      <c r="H194" s="198"/>
      <c r="I194" s="198"/>
      <c r="J194" s="198"/>
      <c r="K194" s="198"/>
      <c r="L194" s="198"/>
      <c r="M194" s="198"/>
      <c r="N194" s="198"/>
      <c r="O194" s="198"/>
      <c r="P194" s="198"/>
      <c r="Q194" s="198"/>
      <c r="R194" s="198"/>
      <c r="S194" s="198"/>
      <c r="T194" s="198"/>
      <c r="U194" s="198"/>
      <c r="V194" s="198"/>
      <c r="W194" s="198"/>
      <c r="X194" s="198"/>
      <c r="Y194" s="198"/>
      <c r="Z194" s="198"/>
      <c r="AA194" s="198"/>
      <c r="AB194" s="198"/>
      <c r="AC194" s="198"/>
      <c r="AD194" s="198"/>
      <c r="AE194" s="198"/>
      <c r="AF194" s="198"/>
      <c r="AG194" s="198"/>
      <c r="AH194" s="198"/>
      <c r="AI194" s="198"/>
      <c r="AJ194" s="198"/>
      <c r="AK194" s="198"/>
      <c r="AL194" s="198"/>
      <c r="AM194" s="198"/>
      <c r="AN194" s="198"/>
      <c r="AO194" s="198"/>
      <c r="AP194" s="198"/>
      <c r="AQ194" s="198"/>
      <c r="AR194" s="15">
        <f t="shared" si="5"/>
        <v>24</v>
      </c>
    </row>
    <row r="195" spans="1:44" ht="18.75" customHeight="1">
      <c r="A195" s="198"/>
      <c r="B195" s="198"/>
      <c r="C195" s="198"/>
      <c r="D195" s="198"/>
      <c r="E195" s="198"/>
      <c r="F195" s="198"/>
      <c r="G195" s="198"/>
      <c r="H195" s="198"/>
      <c r="I195" s="198"/>
      <c r="J195" s="198"/>
      <c r="K195" s="198"/>
      <c r="L195" s="198"/>
      <c r="M195" s="198"/>
      <c r="N195" s="198"/>
      <c r="O195" s="198"/>
      <c r="P195" s="198"/>
      <c r="Q195" s="198"/>
      <c r="R195" s="198"/>
      <c r="S195" s="198"/>
      <c r="T195" s="198"/>
      <c r="U195" s="198"/>
      <c r="V195" s="198"/>
      <c r="W195" s="198"/>
      <c r="X195" s="198"/>
      <c r="Y195" s="198"/>
      <c r="Z195" s="198"/>
      <c r="AA195" s="198"/>
      <c r="AB195" s="198"/>
      <c r="AC195" s="198"/>
      <c r="AD195" s="198"/>
      <c r="AE195" s="198"/>
      <c r="AF195" s="198"/>
      <c r="AG195" s="198"/>
      <c r="AH195" s="198"/>
      <c r="AI195" s="198"/>
      <c r="AJ195" s="198"/>
      <c r="AK195" s="198"/>
      <c r="AL195" s="198"/>
      <c r="AM195" s="198"/>
      <c r="AN195" s="198"/>
      <c r="AO195" s="198"/>
      <c r="AP195" s="198"/>
      <c r="AQ195" s="198"/>
      <c r="AR195" s="15">
        <f t="shared" si="5"/>
        <v>25</v>
      </c>
    </row>
    <row r="196" spans="1:44" ht="18.75" customHeight="1">
      <c r="A196" s="198"/>
      <c r="B196" s="198"/>
      <c r="C196" s="198"/>
      <c r="D196" s="198"/>
      <c r="E196" s="198"/>
      <c r="F196" s="198"/>
      <c r="G196" s="198"/>
      <c r="H196" s="198"/>
      <c r="I196" s="198"/>
      <c r="J196" s="198"/>
      <c r="K196" s="198"/>
      <c r="L196" s="198"/>
      <c r="M196" s="198"/>
      <c r="N196" s="198"/>
      <c r="O196" s="198"/>
      <c r="P196" s="198"/>
      <c r="Q196" s="198"/>
      <c r="R196" s="198"/>
      <c r="S196" s="198"/>
      <c r="T196" s="198"/>
      <c r="U196" s="198"/>
      <c r="V196" s="198"/>
      <c r="W196" s="198"/>
      <c r="X196" s="198"/>
      <c r="Y196" s="198"/>
      <c r="Z196" s="198"/>
      <c r="AA196" s="198"/>
      <c r="AB196" s="198"/>
      <c r="AC196" s="198"/>
      <c r="AD196" s="198"/>
      <c r="AE196" s="198"/>
      <c r="AF196" s="198"/>
      <c r="AG196" s="198"/>
      <c r="AH196" s="198"/>
      <c r="AI196" s="198"/>
      <c r="AJ196" s="198"/>
      <c r="AK196" s="198"/>
      <c r="AL196" s="198"/>
      <c r="AM196" s="198"/>
      <c r="AN196" s="198"/>
      <c r="AO196" s="198"/>
      <c r="AP196" s="198"/>
      <c r="AQ196" s="198"/>
      <c r="AR196" s="15">
        <f t="shared" si="5"/>
        <v>26</v>
      </c>
    </row>
    <row r="197" spans="1:44" ht="18.75" customHeight="1">
      <c r="A197" s="198"/>
      <c r="B197" s="198"/>
      <c r="C197" s="198"/>
      <c r="D197" s="198"/>
      <c r="E197" s="198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  <c r="P197" s="198"/>
      <c r="Q197" s="198"/>
      <c r="R197" s="198"/>
      <c r="S197" s="198"/>
      <c r="T197" s="198"/>
      <c r="U197" s="198"/>
      <c r="V197" s="198"/>
      <c r="W197" s="198"/>
      <c r="X197" s="198"/>
      <c r="Y197" s="198"/>
      <c r="Z197" s="198"/>
      <c r="AA197" s="198"/>
      <c r="AB197" s="198"/>
      <c r="AC197" s="198"/>
      <c r="AD197" s="198"/>
      <c r="AE197" s="198"/>
      <c r="AF197" s="198"/>
      <c r="AG197" s="198"/>
      <c r="AH197" s="198"/>
      <c r="AI197" s="198"/>
      <c r="AJ197" s="198"/>
      <c r="AK197" s="198"/>
      <c r="AL197" s="198"/>
      <c r="AM197" s="198"/>
      <c r="AN197" s="198"/>
      <c r="AO197" s="198"/>
      <c r="AP197" s="198"/>
      <c r="AQ197" s="198"/>
      <c r="AR197" s="15">
        <f t="shared" si="5"/>
        <v>27</v>
      </c>
    </row>
    <row r="198" spans="1:44" ht="18.75" customHeight="1">
      <c r="A198" s="198"/>
      <c r="B198" s="198"/>
      <c r="C198" s="198"/>
      <c r="D198" s="198"/>
      <c r="E198" s="198"/>
      <c r="F198" s="198"/>
      <c r="G198" s="198"/>
      <c r="H198" s="198"/>
      <c r="I198" s="198"/>
      <c r="J198" s="198"/>
      <c r="K198" s="198"/>
      <c r="L198" s="198"/>
      <c r="M198" s="198"/>
      <c r="N198" s="198"/>
      <c r="O198" s="198"/>
      <c r="P198" s="198"/>
      <c r="Q198" s="198"/>
      <c r="R198" s="198"/>
      <c r="S198" s="198"/>
      <c r="T198" s="198"/>
      <c r="U198" s="198"/>
      <c r="V198" s="198"/>
      <c r="W198" s="198"/>
      <c r="X198" s="198"/>
      <c r="Y198" s="198"/>
      <c r="Z198" s="198"/>
      <c r="AA198" s="198"/>
      <c r="AB198" s="198"/>
      <c r="AC198" s="198"/>
      <c r="AD198" s="198"/>
      <c r="AE198" s="198"/>
      <c r="AF198" s="198"/>
      <c r="AG198" s="198"/>
      <c r="AH198" s="198"/>
      <c r="AI198" s="198"/>
      <c r="AJ198" s="198"/>
      <c r="AK198" s="198"/>
      <c r="AL198" s="198"/>
      <c r="AM198" s="198"/>
      <c r="AN198" s="198"/>
      <c r="AO198" s="198"/>
      <c r="AP198" s="198"/>
      <c r="AQ198" s="198"/>
      <c r="AR198" s="15">
        <f t="shared" si="5"/>
        <v>28</v>
      </c>
    </row>
    <row r="199" spans="1:44" ht="18.75" customHeight="1">
      <c r="A199" s="198"/>
      <c r="B199" s="198"/>
      <c r="C199" s="198"/>
      <c r="D199" s="198"/>
      <c r="E199" s="198"/>
      <c r="F199" s="198"/>
      <c r="G199" s="198"/>
      <c r="H199" s="198"/>
      <c r="I199" s="198"/>
      <c r="J199" s="198"/>
      <c r="K199" s="198"/>
      <c r="L199" s="198"/>
      <c r="M199" s="198"/>
      <c r="N199" s="198"/>
      <c r="O199" s="198"/>
      <c r="P199" s="198"/>
      <c r="Q199" s="198"/>
      <c r="R199" s="198"/>
      <c r="S199" s="198"/>
      <c r="T199" s="198"/>
      <c r="U199" s="198"/>
      <c r="V199" s="198"/>
      <c r="W199" s="198"/>
      <c r="X199" s="198"/>
      <c r="Y199" s="198"/>
      <c r="Z199" s="198"/>
      <c r="AA199" s="198"/>
      <c r="AB199" s="198"/>
      <c r="AC199" s="198"/>
      <c r="AD199" s="198"/>
      <c r="AE199" s="198"/>
      <c r="AF199" s="198"/>
      <c r="AG199" s="198"/>
      <c r="AH199" s="198"/>
      <c r="AI199" s="198"/>
      <c r="AJ199" s="198"/>
      <c r="AK199" s="198"/>
      <c r="AL199" s="198"/>
      <c r="AM199" s="198"/>
      <c r="AN199" s="198"/>
      <c r="AO199" s="198"/>
      <c r="AP199" s="198"/>
      <c r="AQ199" s="198"/>
      <c r="AR199" s="15">
        <f t="shared" si="5"/>
        <v>29</v>
      </c>
    </row>
    <row r="200" spans="1:44" ht="18.75" customHeight="1">
      <c r="A200" s="198"/>
      <c r="B200" s="198"/>
      <c r="C200" s="198"/>
      <c r="D200" s="198"/>
      <c r="E200" s="198"/>
      <c r="F200" s="198"/>
      <c r="G200" s="198"/>
      <c r="H200" s="198"/>
      <c r="I200" s="198"/>
      <c r="J200" s="198"/>
      <c r="K200" s="198"/>
      <c r="L200" s="198"/>
      <c r="M200" s="198"/>
      <c r="N200" s="198"/>
      <c r="O200" s="198"/>
      <c r="P200" s="198"/>
      <c r="Q200" s="198"/>
      <c r="R200" s="198"/>
      <c r="S200" s="198"/>
      <c r="T200" s="198"/>
      <c r="U200" s="198"/>
      <c r="V200" s="198"/>
      <c r="W200" s="198"/>
      <c r="X200" s="198"/>
      <c r="Y200" s="198"/>
      <c r="Z200" s="198"/>
      <c r="AA200" s="198"/>
      <c r="AB200" s="198"/>
      <c r="AC200" s="198"/>
      <c r="AD200" s="198"/>
      <c r="AE200" s="198"/>
      <c r="AF200" s="198"/>
      <c r="AG200" s="198"/>
      <c r="AH200" s="198"/>
      <c r="AI200" s="198"/>
      <c r="AJ200" s="198"/>
      <c r="AK200" s="198"/>
      <c r="AL200" s="198"/>
      <c r="AM200" s="198"/>
      <c r="AN200" s="198"/>
      <c r="AO200" s="198"/>
      <c r="AP200" s="198"/>
      <c r="AQ200" s="198"/>
      <c r="AR200" s="15">
        <f t="shared" si="5"/>
        <v>30</v>
      </c>
    </row>
    <row r="201" spans="1:44" ht="18.75" customHeight="1">
      <c r="A201" s="198"/>
      <c r="B201" s="198"/>
      <c r="C201" s="198"/>
      <c r="D201" s="198"/>
      <c r="E201" s="198"/>
      <c r="F201" s="198"/>
      <c r="G201" s="198"/>
      <c r="H201" s="198"/>
      <c r="I201" s="198"/>
      <c r="J201" s="198"/>
      <c r="K201" s="198"/>
      <c r="L201" s="198"/>
      <c r="M201" s="198"/>
      <c r="N201" s="198"/>
      <c r="O201" s="198"/>
      <c r="P201" s="198"/>
      <c r="Q201" s="198"/>
      <c r="R201" s="198"/>
      <c r="S201" s="198"/>
      <c r="T201" s="198"/>
      <c r="U201" s="198"/>
      <c r="V201" s="198"/>
      <c r="W201" s="198"/>
      <c r="X201" s="198"/>
      <c r="Y201" s="198"/>
      <c r="Z201" s="198"/>
      <c r="AA201" s="198"/>
      <c r="AB201" s="198"/>
      <c r="AC201" s="198"/>
      <c r="AD201" s="198"/>
      <c r="AE201" s="198"/>
      <c r="AF201" s="198"/>
      <c r="AG201" s="198"/>
      <c r="AH201" s="198"/>
      <c r="AI201" s="198"/>
      <c r="AJ201" s="198"/>
      <c r="AK201" s="198"/>
      <c r="AL201" s="198"/>
      <c r="AM201" s="198"/>
      <c r="AN201" s="198"/>
      <c r="AO201" s="198"/>
      <c r="AP201" s="198"/>
      <c r="AQ201" s="198"/>
      <c r="AR201" s="15">
        <f t="shared" si="5"/>
        <v>31</v>
      </c>
    </row>
    <row r="202" spans="1:44" ht="18.75" customHeight="1">
      <c r="A202" s="198"/>
      <c r="B202" s="198"/>
      <c r="C202" s="198"/>
      <c r="D202" s="198"/>
      <c r="E202" s="198"/>
      <c r="F202" s="198"/>
      <c r="G202" s="198"/>
      <c r="H202" s="198"/>
      <c r="I202" s="198"/>
      <c r="J202" s="198"/>
      <c r="K202" s="198"/>
      <c r="L202" s="198"/>
      <c r="M202" s="198"/>
      <c r="N202" s="198"/>
      <c r="O202" s="198"/>
      <c r="P202" s="198"/>
      <c r="Q202" s="198"/>
      <c r="R202" s="198"/>
      <c r="S202" s="198"/>
      <c r="T202" s="198"/>
      <c r="U202" s="198"/>
      <c r="V202" s="198"/>
      <c r="W202" s="198"/>
      <c r="X202" s="198"/>
      <c r="Y202" s="198"/>
      <c r="Z202" s="198"/>
      <c r="AA202" s="198"/>
      <c r="AB202" s="198"/>
      <c r="AC202" s="198"/>
      <c r="AD202" s="198"/>
      <c r="AE202" s="198"/>
      <c r="AF202" s="198"/>
      <c r="AG202" s="198"/>
      <c r="AH202" s="198"/>
      <c r="AI202" s="198"/>
      <c r="AJ202" s="198"/>
      <c r="AK202" s="198"/>
      <c r="AL202" s="198"/>
      <c r="AM202" s="198"/>
      <c r="AN202" s="198"/>
      <c r="AO202" s="198"/>
      <c r="AP202" s="198"/>
      <c r="AQ202" s="198"/>
      <c r="AR202" s="15">
        <f t="shared" si="5"/>
        <v>32</v>
      </c>
    </row>
    <row r="203" spans="1:44" ht="18.75" customHeight="1">
      <c r="A203" s="198"/>
      <c r="B203" s="198"/>
      <c r="C203" s="198"/>
      <c r="D203" s="198"/>
      <c r="E203" s="198"/>
      <c r="F203" s="198"/>
      <c r="G203" s="198"/>
      <c r="H203" s="198"/>
      <c r="I203" s="198"/>
      <c r="J203" s="198"/>
      <c r="K203" s="198"/>
      <c r="L203" s="198"/>
      <c r="M203" s="198"/>
      <c r="N203" s="198"/>
      <c r="O203" s="198"/>
      <c r="P203" s="198"/>
      <c r="Q203" s="198"/>
      <c r="R203" s="198"/>
      <c r="S203" s="198"/>
      <c r="T203" s="198"/>
      <c r="U203" s="198"/>
      <c r="V203" s="198"/>
      <c r="W203" s="198"/>
      <c r="X203" s="198"/>
      <c r="Y203" s="198"/>
      <c r="Z203" s="198"/>
      <c r="AA203" s="198"/>
      <c r="AB203" s="198"/>
      <c r="AC203" s="198"/>
      <c r="AD203" s="198"/>
      <c r="AE203" s="198"/>
      <c r="AF203" s="198"/>
      <c r="AG203" s="198"/>
      <c r="AH203" s="198"/>
      <c r="AI203" s="198"/>
      <c r="AJ203" s="198"/>
      <c r="AK203" s="198"/>
      <c r="AL203" s="198"/>
      <c r="AM203" s="198"/>
      <c r="AN203" s="198"/>
      <c r="AO203" s="198"/>
      <c r="AP203" s="198"/>
      <c r="AQ203" s="198"/>
      <c r="AR203" s="15">
        <f t="shared" si="5"/>
        <v>33</v>
      </c>
    </row>
    <row r="204" spans="1:44" ht="18.75" customHeight="1">
      <c r="A204" s="198"/>
      <c r="B204" s="198"/>
      <c r="C204" s="198"/>
      <c r="D204" s="198"/>
      <c r="E204" s="198"/>
      <c r="F204" s="198"/>
      <c r="G204" s="198"/>
      <c r="H204" s="198"/>
      <c r="I204" s="198"/>
      <c r="J204" s="198"/>
      <c r="K204" s="198"/>
      <c r="L204" s="198"/>
      <c r="M204" s="198"/>
      <c r="N204" s="198"/>
      <c r="O204" s="198"/>
      <c r="P204" s="198"/>
      <c r="Q204" s="198"/>
      <c r="R204" s="198"/>
      <c r="S204" s="198"/>
      <c r="T204" s="198"/>
      <c r="U204" s="198"/>
      <c r="V204" s="198"/>
      <c r="W204" s="198"/>
      <c r="X204" s="198"/>
      <c r="Y204" s="198"/>
      <c r="Z204" s="198"/>
      <c r="AA204" s="198"/>
      <c r="AB204" s="198"/>
      <c r="AC204" s="198"/>
      <c r="AD204" s="198"/>
      <c r="AE204" s="198"/>
      <c r="AF204" s="198"/>
      <c r="AG204" s="198"/>
      <c r="AH204" s="198"/>
      <c r="AI204" s="198"/>
      <c r="AJ204" s="198"/>
      <c r="AK204" s="198"/>
      <c r="AL204" s="198"/>
      <c r="AM204" s="198"/>
      <c r="AN204" s="198"/>
      <c r="AO204" s="198"/>
      <c r="AP204" s="198"/>
      <c r="AQ204" s="198"/>
      <c r="AR204" s="15">
        <f t="shared" si="5"/>
        <v>34</v>
      </c>
    </row>
    <row r="205" spans="1:44" ht="16.5" customHeight="1"/>
    <row r="206" spans="1:44" ht="16.5" customHeight="1"/>
    <row r="207" spans="1:44" ht="16.5" customHeight="1"/>
    <row r="208" spans="1:44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</sheetData>
  <sheetProtection formatCells="0" selectLockedCells="1"/>
  <mergeCells count="258">
    <mergeCell ref="A200:AQ200"/>
    <mergeCell ref="A201:AQ201"/>
    <mergeCell ref="A202:AQ202"/>
    <mergeCell ref="A203:AQ203"/>
    <mergeCell ref="A204:AQ204"/>
    <mergeCell ref="A194:AQ194"/>
    <mergeCell ref="A195:AQ195"/>
    <mergeCell ref="A196:AQ196"/>
    <mergeCell ref="A197:AQ197"/>
    <mergeCell ref="A198:AQ198"/>
    <mergeCell ref="A199:AQ199"/>
    <mergeCell ref="I189:R189"/>
    <mergeCell ref="I190:R190"/>
    <mergeCell ref="S190:AI190"/>
    <mergeCell ref="A191:AQ191"/>
    <mergeCell ref="A192:AQ192"/>
    <mergeCell ref="A193:AQ193"/>
    <mergeCell ref="I187:N187"/>
    <mergeCell ref="O187:R187"/>
    <mergeCell ref="S187:AP187"/>
    <mergeCell ref="I188:N188"/>
    <mergeCell ref="O188:R188"/>
    <mergeCell ref="S188:AQ188"/>
    <mergeCell ref="A183:AQ183"/>
    <mergeCell ref="A184:AQ184"/>
    <mergeCell ref="A185:AQ185"/>
    <mergeCell ref="I186:N186"/>
    <mergeCell ref="S186:AE186"/>
    <mergeCell ref="AF186:AI186"/>
    <mergeCell ref="V177:AQ177"/>
    <mergeCell ref="V178:AQ178"/>
    <mergeCell ref="A179:AQ179"/>
    <mergeCell ref="A180:AQ180"/>
    <mergeCell ref="A181:AQ181"/>
    <mergeCell ref="A182:AQ182"/>
    <mergeCell ref="A172:B172"/>
    <mergeCell ref="AI172:AQ172"/>
    <mergeCell ref="A173:AQ173"/>
    <mergeCell ref="A174:AQ174"/>
    <mergeCell ref="A175:AQ175"/>
    <mergeCell ref="A176:AQ176"/>
    <mergeCell ref="A166:AQ166"/>
    <mergeCell ref="A167:AQ167"/>
    <mergeCell ref="A168:AQ168"/>
    <mergeCell ref="A169:AQ169"/>
    <mergeCell ref="A170:AQ170"/>
    <mergeCell ref="A171:B171"/>
    <mergeCell ref="AI171:AQ171"/>
    <mergeCell ref="A160:AQ160"/>
    <mergeCell ref="A161:AQ161"/>
    <mergeCell ref="A162:AQ162"/>
    <mergeCell ref="A163:AQ163"/>
    <mergeCell ref="A164:AQ164"/>
    <mergeCell ref="A165:AQ165"/>
    <mergeCell ref="I155:R155"/>
    <mergeCell ref="I156:R156"/>
    <mergeCell ref="S156:AI156"/>
    <mergeCell ref="A157:AQ157"/>
    <mergeCell ref="A158:AQ158"/>
    <mergeCell ref="A159:AQ159"/>
    <mergeCell ref="I153:N153"/>
    <mergeCell ref="O153:R153"/>
    <mergeCell ref="S153:AP153"/>
    <mergeCell ref="I154:N154"/>
    <mergeCell ref="O154:R154"/>
    <mergeCell ref="S154:AQ154"/>
    <mergeCell ref="A149:AQ149"/>
    <mergeCell ref="A150:AQ150"/>
    <mergeCell ref="A151:AQ151"/>
    <mergeCell ref="I152:N152"/>
    <mergeCell ref="S152:AE152"/>
    <mergeCell ref="AF152:AI152"/>
    <mergeCell ref="V143:AQ143"/>
    <mergeCell ref="V144:AQ144"/>
    <mergeCell ref="A145:AQ145"/>
    <mergeCell ref="A146:AQ146"/>
    <mergeCell ref="A147:AQ147"/>
    <mergeCell ref="A148:AQ148"/>
    <mergeCell ref="A138:B138"/>
    <mergeCell ref="AI138:AQ138"/>
    <mergeCell ref="A139:AQ139"/>
    <mergeCell ref="A140:AQ140"/>
    <mergeCell ref="A141:AQ141"/>
    <mergeCell ref="A142:AQ142"/>
    <mergeCell ref="A132:AQ132"/>
    <mergeCell ref="A133:AQ133"/>
    <mergeCell ref="A134:AQ134"/>
    <mergeCell ref="A135:AQ135"/>
    <mergeCell ref="A136:AQ136"/>
    <mergeCell ref="A137:B137"/>
    <mergeCell ref="AI137:AQ137"/>
    <mergeCell ref="A126:AQ126"/>
    <mergeCell ref="A127:AQ127"/>
    <mergeCell ref="A128:AQ128"/>
    <mergeCell ref="A129:AQ129"/>
    <mergeCell ref="A130:AQ130"/>
    <mergeCell ref="A131:AQ131"/>
    <mergeCell ref="I121:R121"/>
    <mergeCell ref="I122:R122"/>
    <mergeCell ref="S122:AI122"/>
    <mergeCell ref="A123:AQ123"/>
    <mergeCell ref="A124:AQ124"/>
    <mergeCell ref="A125:AQ125"/>
    <mergeCell ref="I119:N119"/>
    <mergeCell ref="O119:R119"/>
    <mergeCell ref="S119:AP119"/>
    <mergeCell ref="I120:N120"/>
    <mergeCell ref="O120:R120"/>
    <mergeCell ref="S120:AQ120"/>
    <mergeCell ref="A115:AQ115"/>
    <mergeCell ref="A116:AQ116"/>
    <mergeCell ref="A117:AQ117"/>
    <mergeCell ref="I118:N118"/>
    <mergeCell ref="S118:AE118"/>
    <mergeCell ref="AF118:AI118"/>
    <mergeCell ref="V109:AQ109"/>
    <mergeCell ref="V110:AQ110"/>
    <mergeCell ref="A111:AQ111"/>
    <mergeCell ref="A112:AQ112"/>
    <mergeCell ref="A113:AQ113"/>
    <mergeCell ref="A114:AQ114"/>
    <mergeCell ref="A104:B104"/>
    <mergeCell ref="AI104:AQ104"/>
    <mergeCell ref="A105:AQ105"/>
    <mergeCell ref="A106:AQ106"/>
    <mergeCell ref="A107:AQ107"/>
    <mergeCell ref="A108:AQ108"/>
    <mergeCell ref="A98:AQ98"/>
    <mergeCell ref="A99:AQ99"/>
    <mergeCell ref="A100:AQ100"/>
    <mergeCell ref="A101:AQ101"/>
    <mergeCell ref="A102:AQ102"/>
    <mergeCell ref="A103:B103"/>
    <mergeCell ref="AI103:AQ103"/>
    <mergeCell ref="A92:AQ92"/>
    <mergeCell ref="A93:AQ93"/>
    <mergeCell ref="A94:AQ94"/>
    <mergeCell ref="A95:AQ95"/>
    <mergeCell ref="A96:AQ96"/>
    <mergeCell ref="A97:AQ97"/>
    <mergeCell ref="I87:R87"/>
    <mergeCell ref="I88:R88"/>
    <mergeCell ref="S88:AI88"/>
    <mergeCell ref="A89:AQ89"/>
    <mergeCell ref="A90:AQ90"/>
    <mergeCell ref="A91:AQ91"/>
    <mergeCell ref="I85:N85"/>
    <mergeCell ref="O85:R85"/>
    <mergeCell ref="S85:AP85"/>
    <mergeCell ref="I86:N86"/>
    <mergeCell ref="O86:R86"/>
    <mergeCell ref="S86:AQ86"/>
    <mergeCell ref="A81:AQ81"/>
    <mergeCell ref="A82:AQ82"/>
    <mergeCell ref="A83:AQ83"/>
    <mergeCell ref="I84:N84"/>
    <mergeCell ref="S84:AE84"/>
    <mergeCell ref="AF84:AI84"/>
    <mergeCell ref="V75:AQ75"/>
    <mergeCell ref="V76:AQ76"/>
    <mergeCell ref="A77:AQ77"/>
    <mergeCell ref="A78:AQ78"/>
    <mergeCell ref="A79:AQ79"/>
    <mergeCell ref="A80:AQ80"/>
    <mergeCell ref="A70:B70"/>
    <mergeCell ref="AI70:AQ70"/>
    <mergeCell ref="A71:AQ71"/>
    <mergeCell ref="A72:AQ72"/>
    <mergeCell ref="A73:AQ73"/>
    <mergeCell ref="A74:AQ74"/>
    <mergeCell ref="A64:AQ64"/>
    <mergeCell ref="A65:AQ65"/>
    <mergeCell ref="A66:AQ66"/>
    <mergeCell ref="A67:AQ67"/>
    <mergeCell ref="A68:AQ68"/>
    <mergeCell ref="A69:B69"/>
    <mergeCell ref="AI69:AQ69"/>
    <mergeCell ref="A58:AQ58"/>
    <mergeCell ref="A59:AQ59"/>
    <mergeCell ref="A60:AQ60"/>
    <mergeCell ref="A61:AQ61"/>
    <mergeCell ref="A62:AQ62"/>
    <mergeCell ref="A63:AQ63"/>
    <mergeCell ref="I53:R53"/>
    <mergeCell ref="I54:R54"/>
    <mergeCell ref="S54:AI54"/>
    <mergeCell ref="A55:AQ55"/>
    <mergeCell ref="A56:AQ56"/>
    <mergeCell ref="A57:AQ57"/>
    <mergeCell ref="I51:N51"/>
    <mergeCell ref="O51:R51"/>
    <mergeCell ref="S51:AP51"/>
    <mergeCell ref="I52:N52"/>
    <mergeCell ref="O52:R52"/>
    <mergeCell ref="S52:AQ52"/>
    <mergeCell ref="A47:AQ47"/>
    <mergeCell ref="A48:AQ48"/>
    <mergeCell ref="A49:AQ49"/>
    <mergeCell ref="I50:N50"/>
    <mergeCell ref="S50:AE50"/>
    <mergeCell ref="AF50:AI50"/>
    <mergeCell ref="V41:AQ41"/>
    <mergeCell ref="V42:AQ42"/>
    <mergeCell ref="A43:AQ43"/>
    <mergeCell ref="A44:AQ44"/>
    <mergeCell ref="A45:AQ45"/>
    <mergeCell ref="A46:AQ46"/>
    <mergeCell ref="A36:B36"/>
    <mergeCell ref="AI36:AQ36"/>
    <mergeCell ref="A37:AQ37"/>
    <mergeCell ref="A38:AQ38"/>
    <mergeCell ref="A39:AQ39"/>
    <mergeCell ref="A40:AQ40"/>
    <mergeCell ref="A30:AQ30"/>
    <mergeCell ref="A31:AQ31"/>
    <mergeCell ref="A32:AQ32"/>
    <mergeCell ref="A33:AQ33"/>
    <mergeCell ref="A34:AQ34"/>
    <mergeCell ref="A35:B35"/>
    <mergeCell ref="AI35:AQ35"/>
    <mergeCell ref="A24:AQ24"/>
    <mergeCell ref="A25:AQ25"/>
    <mergeCell ref="A26:AQ26"/>
    <mergeCell ref="A27:AQ27"/>
    <mergeCell ref="A28:AQ28"/>
    <mergeCell ref="A29:AQ29"/>
    <mergeCell ref="I19:R19"/>
    <mergeCell ref="I20:R20"/>
    <mergeCell ref="S20:AI20"/>
    <mergeCell ref="A21:AQ21"/>
    <mergeCell ref="A22:AQ22"/>
    <mergeCell ref="A23:AQ23"/>
    <mergeCell ref="I17:N17"/>
    <mergeCell ref="O17:R17"/>
    <mergeCell ref="S17:AP17"/>
    <mergeCell ref="I18:N18"/>
    <mergeCell ref="O18:R18"/>
    <mergeCell ref="S18:AQ18"/>
    <mergeCell ref="A11:AQ11"/>
    <mergeCell ref="A12:AQ12"/>
    <mergeCell ref="A13:AQ13"/>
    <mergeCell ref="A14:AQ14"/>
    <mergeCell ref="A15:AQ15"/>
    <mergeCell ref="I16:N16"/>
    <mergeCell ref="S16:AE16"/>
    <mergeCell ref="AF16:AI16"/>
    <mergeCell ref="A5:AQ5"/>
    <mergeCell ref="A6:AQ6"/>
    <mergeCell ref="V7:AQ7"/>
    <mergeCell ref="V8:AQ8"/>
    <mergeCell ref="A9:AQ9"/>
    <mergeCell ref="A10:AQ10"/>
    <mergeCell ref="A1:B1"/>
    <mergeCell ref="AI1:AQ1"/>
    <mergeCell ref="A2:B2"/>
    <mergeCell ref="AI2:AQ2"/>
    <mergeCell ref="A3:AQ3"/>
    <mergeCell ref="A4:AQ4"/>
  </mergeCells>
  <phoneticPr fontId="1"/>
  <pageMargins left="0.98425196850393704" right="0.98425196850393704" top="1.3779527559055118" bottom="1.1811023622047245" header="0.51181102362204722" footer="0.51181102362204722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5">
    <tabColor rgb="FFFFC000"/>
  </sheetPr>
  <dimension ref="A1:AV126"/>
  <sheetViews>
    <sheetView showGridLines="0" view="pageBreakPreview" zoomScaleNormal="100" zoomScaleSheetLayoutView="100" workbookViewId="0">
      <selection activeCell="V7" sqref="V7:AQ7"/>
    </sheetView>
  </sheetViews>
  <sheetFormatPr defaultColWidth="9" defaultRowHeight="22.5" customHeight="1"/>
  <cols>
    <col min="1" max="43" width="1.90625" style="13" customWidth="1"/>
    <col min="44" max="44" width="3.36328125" style="15" customWidth="1"/>
    <col min="45" max="47" width="1.90625" style="13" customWidth="1"/>
    <col min="48" max="48" width="6.26953125" style="13" customWidth="1"/>
    <col min="49" max="49" width="6.90625" style="13" customWidth="1"/>
    <col min="50" max="16384" width="9" style="13"/>
  </cols>
  <sheetData>
    <row r="1" spans="1:48" ht="16.5" customHeight="1">
      <c r="A1" s="197"/>
      <c r="B1" s="197"/>
      <c r="AI1" s="200" t="str">
        <f>'1'!$AI$1</f>
        <v>R4健障障第100号</v>
      </c>
      <c r="AJ1" s="200"/>
      <c r="AK1" s="200"/>
      <c r="AL1" s="200"/>
      <c r="AM1" s="200"/>
      <c r="AN1" s="200"/>
      <c r="AO1" s="200"/>
      <c r="AP1" s="200"/>
      <c r="AQ1" s="200"/>
      <c r="AR1" s="15">
        <v>1</v>
      </c>
    </row>
    <row r="2" spans="1:48" ht="16.5" customHeight="1">
      <c r="A2" s="197"/>
      <c r="B2" s="197"/>
      <c r="AI2" s="201">
        <f>'1'!$AI$2</f>
        <v>44677</v>
      </c>
      <c r="AJ2" s="201"/>
      <c r="AK2" s="201"/>
      <c r="AL2" s="201"/>
      <c r="AM2" s="201"/>
      <c r="AN2" s="201"/>
      <c r="AO2" s="201"/>
      <c r="AP2" s="201"/>
      <c r="AQ2" s="201"/>
      <c r="AR2" s="15">
        <f>AR1+1</f>
        <v>2</v>
      </c>
    </row>
    <row r="3" spans="1:48" ht="18.7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5">
        <f t="shared" ref="AR3:AR34" si="0">AR2+1</f>
        <v>3</v>
      </c>
    </row>
    <row r="4" spans="1:48" ht="18.75" customHeight="1">
      <c r="A4" s="199" t="str">
        <f>INDEX(送付先一覧!A:O,MATCH(AV4,送付先一覧!A:A,0),4)</f>
        <v>特定非営利活動法人多夢多夢舎中山工房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5">
        <f t="shared" si="0"/>
        <v>4</v>
      </c>
      <c r="AV4" s="65">
        <v>47</v>
      </c>
    </row>
    <row r="5" spans="1:48" ht="18.75" customHeight="1">
      <c r="A5" s="202" t="str">
        <f>INDEX(送付先一覧!A:O,MATCH(AV4,送付先一覧!A:A,0),5)</f>
        <v>代表理事　鷲見　俊雄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15">
        <f t="shared" si="0"/>
        <v>5</v>
      </c>
    </row>
    <row r="6" spans="1:48" ht="18.75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5">
        <f t="shared" si="0"/>
        <v>6</v>
      </c>
    </row>
    <row r="7" spans="1:48" ht="18.75" customHeight="1">
      <c r="V7" s="199" t="str">
        <f>'1'!$V$7</f>
        <v>仙台市健康福祉局障害福祉部障害企画課長　　</v>
      </c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5">
        <f t="shared" si="0"/>
        <v>7</v>
      </c>
    </row>
    <row r="8" spans="1:48" ht="18.75" customHeight="1">
      <c r="V8" s="199" t="str">
        <f>'1'!$V$8</f>
        <v>仙台市健康福祉局障害福祉部障害者支援課長　</v>
      </c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5">
        <f t="shared" si="0"/>
        <v>8</v>
      </c>
    </row>
    <row r="9" spans="1:48" ht="18.7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5">
        <f t="shared" si="0"/>
        <v>9</v>
      </c>
    </row>
    <row r="10" spans="1:48" ht="22.5" customHeight="1">
      <c r="A10" s="203" t="str">
        <f>'1'!$A$10</f>
        <v>令和４年度仙台市障害福祉分野のICT導入モデル事業補助金の内示について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15">
        <f t="shared" si="0"/>
        <v>10</v>
      </c>
    </row>
    <row r="11" spans="1:48" ht="18.7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5">
        <f t="shared" si="0"/>
        <v>11</v>
      </c>
    </row>
    <row r="12" spans="1:48" ht="93.75" customHeight="1">
      <c r="A12" s="205" t="str">
        <f>'1'!$A$12</f>
        <v>　平素より、本市障害福祉施策にご理解とご協力賜り感謝申し上げます。
　令和3年12月13日付R3健障障第2190号で依頼した「令和3年度障害福祉分野のICT導入モデル事業に係所要見込額調書等の提出」を踏まえ、本補助金に係る補助額について、下記のとおり内示いたします。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15">
        <f t="shared" si="0"/>
        <v>12</v>
      </c>
    </row>
    <row r="13" spans="1:48" ht="18.7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5">
        <f t="shared" si="0"/>
        <v>13</v>
      </c>
    </row>
    <row r="14" spans="1:48" ht="18.75" customHeight="1">
      <c r="A14" s="197" t="str">
        <f>'1'!$A$14</f>
        <v>記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5">
        <f t="shared" si="0"/>
        <v>14</v>
      </c>
    </row>
    <row r="15" spans="1:48" ht="18.7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5">
        <f t="shared" si="0"/>
        <v>15</v>
      </c>
    </row>
    <row r="16" spans="1:48" ht="18.75" customHeight="1">
      <c r="I16" s="199" t="str">
        <f>'1'!$I$16</f>
        <v>補助内示額</v>
      </c>
      <c r="J16" s="199"/>
      <c r="K16" s="199"/>
      <c r="L16" s="199"/>
      <c r="M16" s="199"/>
      <c r="N16" s="199"/>
      <c r="S16" s="206">
        <f>INDEX(送付先一覧!A:O,MATCH(AV4,送付先一覧!A:A,0),12)</f>
        <v>560000</v>
      </c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199"/>
      <c r="AG16" s="199"/>
      <c r="AH16" s="199"/>
      <c r="AI16" s="199"/>
      <c r="AR16" s="15">
        <f t="shared" si="0"/>
        <v>16</v>
      </c>
    </row>
    <row r="17" spans="1:44" ht="18.75" customHeight="1">
      <c r="I17" s="199" t="str">
        <f>'1'!$I$17</f>
        <v>事業種別</v>
      </c>
      <c r="J17" s="199"/>
      <c r="K17" s="199"/>
      <c r="L17" s="199"/>
      <c r="M17" s="199"/>
      <c r="N17" s="199"/>
      <c r="O17" s="199"/>
      <c r="P17" s="199"/>
      <c r="Q17" s="199"/>
      <c r="R17" s="199"/>
      <c r="S17" s="199" t="str">
        <f>INDEX(送付先一覧!A:O,MATCH(AV4,送付先一覧!A:A,0),9)</f>
        <v>就労継続支援B型</v>
      </c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R17" s="15">
        <f t="shared" si="0"/>
        <v>17</v>
      </c>
    </row>
    <row r="18" spans="1:44" ht="18.75" customHeight="1">
      <c r="I18" s="199" t="str">
        <f>'1'!$I$18</f>
        <v>事業所名</v>
      </c>
      <c r="J18" s="199"/>
      <c r="K18" s="199"/>
      <c r="L18" s="199"/>
      <c r="M18" s="199"/>
      <c r="N18" s="199"/>
      <c r="O18" s="199"/>
      <c r="P18" s="199"/>
      <c r="Q18" s="199"/>
      <c r="R18" s="199"/>
      <c r="S18" s="204" t="str">
        <f>INDEX(送付先一覧!A:O,MATCH(AV4,送付先一覧!A:A,0),8)</f>
        <v>多夢多夢舎中山工房</v>
      </c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15">
        <f t="shared" si="0"/>
        <v>18</v>
      </c>
    </row>
    <row r="19" spans="1:44" ht="18.75" customHeight="1"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15">
        <f t="shared" si="0"/>
        <v>19</v>
      </c>
    </row>
    <row r="20" spans="1:44" ht="18.75" customHeight="1"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R20" s="15">
        <f t="shared" si="0"/>
        <v>20</v>
      </c>
    </row>
    <row r="21" spans="1:44" ht="18.7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5">
        <f t="shared" si="0"/>
        <v>21</v>
      </c>
    </row>
    <row r="22" spans="1:44" ht="18.75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5">
        <f t="shared" si="0"/>
        <v>22</v>
      </c>
    </row>
    <row r="23" spans="1:44" ht="18.75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5">
        <f t="shared" si="0"/>
        <v>23</v>
      </c>
    </row>
    <row r="24" spans="1:44" ht="18.75" customHeight="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5">
        <f t="shared" si="0"/>
        <v>24</v>
      </c>
    </row>
    <row r="25" spans="1:44" ht="18.7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5">
        <f t="shared" si="0"/>
        <v>25</v>
      </c>
    </row>
    <row r="26" spans="1:44" ht="18.7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5">
        <f t="shared" si="0"/>
        <v>26</v>
      </c>
    </row>
    <row r="27" spans="1:44" ht="18.75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5">
        <f t="shared" si="0"/>
        <v>27</v>
      </c>
    </row>
    <row r="28" spans="1:44" ht="18.7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5">
        <f t="shared" si="0"/>
        <v>28</v>
      </c>
    </row>
    <row r="29" spans="1:44" ht="18.75" customHeight="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5">
        <f t="shared" si="0"/>
        <v>29</v>
      </c>
    </row>
    <row r="30" spans="1:44" ht="18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5">
        <f t="shared" si="0"/>
        <v>30</v>
      </c>
    </row>
    <row r="31" spans="1:44" ht="18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5">
        <f t="shared" si="0"/>
        <v>31</v>
      </c>
    </row>
    <row r="32" spans="1:44" ht="18.75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5">
        <f t="shared" si="0"/>
        <v>32</v>
      </c>
    </row>
    <row r="33" spans="1:44" ht="18.7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5">
        <f t="shared" si="0"/>
        <v>33</v>
      </c>
    </row>
    <row r="34" spans="1:44" ht="18.7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5">
        <f t="shared" si="0"/>
        <v>34</v>
      </c>
    </row>
    <row r="35" spans="1:44" ht="18.75" customHeight="1">
      <c r="A35" s="15"/>
      <c r="B35" s="15"/>
    </row>
    <row r="36" spans="1:44" ht="16.5" customHeight="1"/>
    <row r="37" spans="1:44" ht="16.5" customHeight="1"/>
    <row r="38" spans="1:44" ht="16.5" customHeight="1"/>
    <row r="39" spans="1:44" ht="16.5" customHeight="1"/>
    <row r="40" spans="1:44" ht="16.5" customHeight="1"/>
    <row r="41" spans="1:44" ht="16.5" customHeight="1"/>
    <row r="42" spans="1:44" ht="16.5" customHeight="1"/>
    <row r="43" spans="1:44" ht="16.5" customHeight="1"/>
    <row r="44" spans="1:44" ht="16.5" customHeight="1"/>
    <row r="45" spans="1:44" ht="16.5" customHeight="1"/>
    <row r="46" spans="1:44" ht="16.5" customHeight="1"/>
    <row r="47" spans="1:44" ht="16.5" customHeight="1"/>
    <row r="48" spans="1:44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</sheetData>
  <sheetProtection formatCells="0" selectLockedCells="1"/>
  <mergeCells count="43">
    <mergeCell ref="A30:AQ30"/>
    <mergeCell ref="A31:AQ31"/>
    <mergeCell ref="A32:AQ32"/>
    <mergeCell ref="A33:AQ33"/>
    <mergeCell ref="A34:AQ34"/>
    <mergeCell ref="A29:AQ29"/>
    <mergeCell ref="I19:R19"/>
    <mergeCell ref="I20:R20"/>
    <mergeCell ref="S20:AI20"/>
    <mergeCell ref="A21:AQ21"/>
    <mergeCell ref="A22:AQ22"/>
    <mergeCell ref="A23:AQ23"/>
    <mergeCell ref="A24:AQ24"/>
    <mergeCell ref="A25:AQ25"/>
    <mergeCell ref="A26:AQ26"/>
    <mergeCell ref="A27:AQ27"/>
    <mergeCell ref="A28:AQ28"/>
    <mergeCell ref="I17:N17"/>
    <mergeCell ref="O17:R17"/>
    <mergeCell ref="S17:AP17"/>
    <mergeCell ref="I18:N18"/>
    <mergeCell ref="O18:R18"/>
    <mergeCell ref="S18:AQ18"/>
    <mergeCell ref="I16:N16"/>
    <mergeCell ref="S16:AE16"/>
    <mergeCell ref="AF16:AI16"/>
    <mergeCell ref="A5:AQ5"/>
    <mergeCell ref="A6:AQ6"/>
    <mergeCell ref="V7:AQ7"/>
    <mergeCell ref="V8:AQ8"/>
    <mergeCell ref="A9:AQ9"/>
    <mergeCell ref="A10:AQ10"/>
    <mergeCell ref="A11:AQ11"/>
    <mergeCell ref="A12:AQ12"/>
    <mergeCell ref="A13:AQ13"/>
    <mergeCell ref="A14:AQ14"/>
    <mergeCell ref="A15:AQ15"/>
    <mergeCell ref="A4:AQ4"/>
    <mergeCell ref="A1:B1"/>
    <mergeCell ref="AI1:AQ1"/>
    <mergeCell ref="A2:B2"/>
    <mergeCell ref="AI2:AQ2"/>
    <mergeCell ref="A3:AQ3"/>
  </mergeCells>
  <phoneticPr fontId="1"/>
  <pageMargins left="0.98425196850393704" right="0.98425196850393704" top="1.3779527559055118" bottom="1.1811023622047245" header="0.51181102362204722" footer="0.51181102362204722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6">
    <tabColor rgb="FF00B0F0"/>
  </sheetPr>
  <dimension ref="A1:BN11"/>
  <sheetViews>
    <sheetView workbookViewId="0">
      <selection activeCell="F46" sqref="F46"/>
    </sheetView>
  </sheetViews>
  <sheetFormatPr defaultColWidth="9" defaultRowHeight="14.25" customHeight="1"/>
  <cols>
    <col min="1" max="1" width="9.08984375" style="8" bestFit="1" customWidth="1"/>
    <col min="2" max="2" width="9" style="8"/>
    <col min="3" max="3" width="29.36328125" style="8" bestFit="1" customWidth="1"/>
    <col min="4" max="6" width="9" style="8"/>
    <col min="7" max="7" width="18.6328125" style="8" bestFit="1" customWidth="1"/>
    <col min="8" max="23" width="9" style="8"/>
    <col min="24" max="24" width="18.6328125" style="8" bestFit="1" customWidth="1"/>
    <col min="25" max="26" width="9" style="8"/>
    <col min="27" max="27" width="14.453125" style="8" bestFit="1" customWidth="1"/>
    <col min="28" max="32" width="9" style="8"/>
    <col min="33" max="33" width="10" style="8" bestFit="1" customWidth="1"/>
    <col min="34" max="34" width="9" style="8"/>
    <col min="35" max="35" width="17.08984375" style="8" bestFit="1" customWidth="1"/>
    <col min="36" max="36" width="21.36328125" style="8" customWidth="1"/>
    <col min="37" max="37" width="9" style="8"/>
    <col min="38" max="38" width="14.453125" style="8" bestFit="1" customWidth="1"/>
    <col min="39" max="39" width="20.453125" style="8" bestFit="1" customWidth="1"/>
    <col min="40" max="40" width="14.6328125" style="8" bestFit="1" customWidth="1"/>
    <col min="41" max="16384" width="9" style="8"/>
  </cols>
  <sheetData>
    <row r="1" spans="1:66" ht="14.25" customHeight="1">
      <c r="A1" s="8" t="s">
        <v>0</v>
      </c>
      <c r="B1" s="8" t="s">
        <v>1</v>
      </c>
      <c r="C1" s="8" t="s">
        <v>84</v>
      </c>
    </row>
    <row r="2" spans="1:66" ht="14.25" customHeight="1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  <c r="S2" s="8" t="s">
        <v>20</v>
      </c>
      <c r="T2" s="8" t="s">
        <v>21</v>
      </c>
      <c r="U2" s="8" t="s">
        <v>22</v>
      </c>
      <c r="V2" s="8" t="s">
        <v>23</v>
      </c>
      <c r="W2" s="8" t="s">
        <v>24</v>
      </c>
      <c r="X2" s="8" t="s">
        <v>8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8" t="s">
        <v>33</v>
      </c>
      <c r="AH2" s="8" t="s">
        <v>34</v>
      </c>
      <c r="AI2" s="8" t="s">
        <v>35</v>
      </c>
      <c r="AJ2" s="8" t="s">
        <v>36</v>
      </c>
      <c r="AK2" s="8" t="s">
        <v>37</v>
      </c>
      <c r="AL2" s="8" t="s">
        <v>38</v>
      </c>
      <c r="AM2" s="8" t="s">
        <v>39</v>
      </c>
      <c r="AN2" s="8" t="s">
        <v>40</v>
      </c>
      <c r="AO2" s="8" t="s">
        <v>41</v>
      </c>
      <c r="AP2" s="8" t="s">
        <v>42</v>
      </c>
      <c r="AQ2" s="8" t="s">
        <v>43</v>
      </c>
      <c r="AR2" s="8" t="s">
        <v>44</v>
      </c>
      <c r="AS2" s="8" t="s">
        <v>45</v>
      </c>
      <c r="AT2" s="8" t="s">
        <v>46</v>
      </c>
      <c r="AU2" s="8" t="s">
        <v>47</v>
      </c>
      <c r="AV2" s="8" t="s">
        <v>48</v>
      </c>
      <c r="AW2" s="8" t="s">
        <v>49</v>
      </c>
      <c r="AX2" s="8" t="s">
        <v>50</v>
      </c>
      <c r="AY2" s="8" t="s">
        <v>51</v>
      </c>
      <c r="AZ2" s="8" t="s">
        <v>52</v>
      </c>
      <c r="BA2" s="8" t="s">
        <v>53</v>
      </c>
      <c r="BB2" s="8" t="s">
        <v>54</v>
      </c>
      <c r="BC2" s="8" t="s">
        <v>55</v>
      </c>
      <c r="BD2" s="8" t="s">
        <v>56</v>
      </c>
      <c r="BE2" s="8" t="s">
        <v>57</v>
      </c>
      <c r="BF2" s="8" t="s">
        <v>58</v>
      </c>
      <c r="BG2" s="8" t="s">
        <v>59</v>
      </c>
      <c r="BH2" s="8" t="s">
        <v>60</v>
      </c>
      <c r="BI2" s="8" t="s">
        <v>61</v>
      </c>
      <c r="BJ2" s="8" t="s">
        <v>62</v>
      </c>
      <c r="BK2" s="8" t="s">
        <v>63</v>
      </c>
      <c r="BL2" s="8" t="s">
        <v>64</v>
      </c>
      <c r="BM2" s="8" t="s">
        <v>65</v>
      </c>
      <c r="BN2" s="8" t="s">
        <v>66</v>
      </c>
    </row>
    <row r="3" spans="1:66" ht="14.25" customHeight="1">
      <c r="A3" s="8">
        <v>1</v>
      </c>
      <c r="B3" s="8" t="s">
        <v>67</v>
      </c>
      <c r="C3" s="9">
        <v>44553.572222222225</v>
      </c>
      <c r="D3" s="8" t="s">
        <v>68</v>
      </c>
      <c r="E3" s="8" t="s">
        <v>69</v>
      </c>
      <c r="G3" s="10">
        <v>44553</v>
      </c>
      <c r="H3" s="8" t="s">
        <v>70</v>
      </c>
      <c r="L3" s="8" t="s">
        <v>71</v>
      </c>
      <c r="R3" s="8" t="s">
        <v>72</v>
      </c>
      <c r="V3" s="8" t="s">
        <v>73</v>
      </c>
      <c r="X3" s="10">
        <v>44553</v>
      </c>
      <c r="Y3" s="8" t="s">
        <v>70</v>
      </c>
      <c r="Z3" s="8" t="s">
        <v>74</v>
      </c>
      <c r="AA3" s="8">
        <v>415401819</v>
      </c>
      <c r="AB3" s="8" t="s">
        <v>75</v>
      </c>
      <c r="AC3" s="8" t="s">
        <v>71</v>
      </c>
      <c r="AD3" s="8" t="s">
        <v>72</v>
      </c>
      <c r="AE3" s="8" t="s">
        <v>73</v>
      </c>
      <c r="AG3" s="8">
        <v>150000</v>
      </c>
      <c r="AH3" s="8" t="s">
        <v>76</v>
      </c>
      <c r="AI3" s="8" t="s">
        <v>77</v>
      </c>
      <c r="AJ3" s="8" t="s">
        <v>78</v>
      </c>
      <c r="AK3" s="8" t="s">
        <v>79</v>
      </c>
      <c r="AL3" s="8">
        <v>415501295</v>
      </c>
      <c r="AM3" s="8" t="s">
        <v>75</v>
      </c>
      <c r="AN3" s="8">
        <v>50000</v>
      </c>
      <c r="BN3" s="11" t="s">
        <v>80</v>
      </c>
    </row>
    <row r="4" spans="1:66" ht="14.25" customHeight="1">
      <c r="A4" s="8">
        <v>2</v>
      </c>
      <c r="B4" s="8" t="s">
        <v>85</v>
      </c>
      <c r="C4" s="9">
        <v>44555.487500000003</v>
      </c>
      <c r="D4" s="8" t="s">
        <v>68</v>
      </c>
      <c r="E4" s="8" t="s">
        <v>69</v>
      </c>
      <c r="G4" s="10">
        <v>44555</v>
      </c>
      <c r="H4" s="8" t="s">
        <v>86</v>
      </c>
      <c r="L4" s="8" t="s">
        <v>87</v>
      </c>
      <c r="R4" s="8" t="s">
        <v>88</v>
      </c>
      <c r="V4" s="8" t="s">
        <v>89</v>
      </c>
      <c r="X4" s="10">
        <v>44555</v>
      </c>
      <c r="Y4" s="8" t="s">
        <v>86</v>
      </c>
      <c r="Z4" s="8" t="s">
        <v>90</v>
      </c>
      <c r="AA4" s="8">
        <v>415401264</v>
      </c>
      <c r="AB4" s="8" t="s">
        <v>75</v>
      </c>
      <c r="AC4" s="8" t="s">
        <v>87</v>
      </c>
      <c r="AD4" s="8" t="s">
        <v>88</v>
      </c>
      <c r="AE4" s="8" t="s">
        <v>89</v>
      </c>
      <c r="AG4" s="8">
        <v>0</v>
      </c>
      <c r="AH4" s="8" t="s">
        <v>91</v>
      </c>
      <c r="AI4" s="8" t="s">
        <v>92</v>
      </c>
      <c r="BN4" s="11" t="s">
        <v>93</v>
      </c>
    </row>
    <row r="5" spans="1:66" ht="14.25" customHeight="1">
      <c r="A5" s="8">
        <v>3</v>
      </c>
      <c r="B5" s="8" t="s">
        <v>94</v>
      </c>
      <c r="C5" s="9">
        <v>44555.536805555559</v>
      </c>
      <c r="D5" s="8" t="s">
        <v>68</v>
      </c>
      <c r="E5" s="8" t="s">
        <v>69</v>
      </c>
      <c r="G5" s="10">
        <v>44555</v>
      </c>
      <c r="H5" s="8" t="s">
        <v>95</v>
      </c>
      <c r="L5" s="8" t="s">
        <v>96</v>
      </c>
      <c r="R5" s="8" t="s">
        <v>97</v>
      </c>
      <c r="V5" s="8" t="s">
        <v>98</v>
      </c>
      <c r="X5" s="10">
        <v>44555</v>
      </c>
      <c r="Y5" s="8" t="s">
        <v>95</v>
      </c>
      <c r="Z5" s="8" t="s">
        <v>99</v>
      </c>
      <c r="AA5" s="8">
        <v>415401470</v>
      </c>
      <c r="AB5" s="8" t="s">
        <v>75</v>
      </c>
      <c r="AC5" s="8" t="s">
        <v>96</v>
      </c>
      <c r="AD5" s="8" t="s">
        <v>97</v>
      </c>
      <c r="AE5" s="8" t="s">
        <v>98</v>
      </c>
      <c r="AG5" s="8">
        <v>250000</v>
      </c>
      <c r="AH5" s="8" t="s">
        <v>100</v>
      </c>
      <c r="AI5" s="8" t="s">
        <v>92</v>
      </c>
      <c r="BN5" s="11" t="s">
        <v>101</v>
      </c>
    </row>
    <row r="6" spans="1:66" ht="14.25" customHeight="1">
      <c r="A6" s="8">
        <v>4</v>
      </c>
      <c r="B6" s="8" t="s">
        <v>102</v>
      </c>
      <c r="C6" s="9">
        <v>44557.621527777781</v>
      </c>
      <c r="D6" s="8" t="s">
        <v>68</v>
      </c>
      <c r="E6" s="8" t="s">
        <v>69</v>
      </c>
      <c r="G6" s="10">
        <v>44557</v>
      </c>
      <c r="H6" s="8" t="s">
        <v>103</v>
      </c>
      <c r="L6" s="8" t="s">
        <v>104</v>
      </c>
      <c r="R6" s="8" t="s">
        <v>105</v>
      </c>
      <c r="V6" s="8" t="s">
        <v>106</v>
      </c>
      <c r="W6" s="8" t="s">
        <v>107</v>
      </c>
      <c r="X6" s="10">
        <v>44557</v>
      </c>
      <c r="Y6" s="8" t="s">
        <v>103</v>
      </c>
      <c r="Z6" s="8" t="s">
        <v>108</v>
      </c>
      <c r="AA6" s="8">
        <v>415300995</v>
      </c>
      <c r="AB6" s="8" t="s">
        <v>75</v>
      </c>
      <c r="AC6" s="8" t="s">
        <v>104</v>
      </c>
      <c r="AD6" s="8" t="s">
        <v>105</v>
      </c>
      <c r="AE6" s="8" t="s">
        <v>106</v>
      </c>
      <c r="AF6" s="8" t="s">
        <v>107</v>
      </c>
      <c r="AG6" s="8">
        <v>300000</v>
      </c>
      <c r="AH6" s="8" t="s">
        <v>109</v>
      </c>
      <c r="AI6" s="8" t="s">
        <v>77</v>
      </c>
      <c r="AJ6" s="8" t="s">
        <v>78</v>
      </c>
      <c r="AK6" s="8" t="s">
        <v>108</v>
      </c>
      <c r="AL6" s="8">
        <v>415300995</v>
      </c>
      <c r="AM6" s="8" t="s">
        <v>110</v>
      </c>
      <c r="AN6" s="8">
        <v>200000</v>
      </c>
      <c r="BN6" s="11" t="s">
        <v>111</v>
      </c>
    </row>
    <row r="7" spans="1:66" ht="14.25" customHeight="1">
      <c r="A7" s="8">
        <v>5</v>
      </c>
      <c r="B7" s="8" t="s">
        <v>112</v>
      </c>
      <c r="C7" s="9">
        <v>44557.867361111108</v>
      </c>
      <c r="D7" s="8" t="s">
        <v>68</v>
      </c>
      <c r="E7" s="8" t="s">
        <v>69</v>
      </c>
      <c r="G7" s="10">
        <v>44557</v>
      </c>
      <c r="H7" s="8" t="s">
        <v>113</v>
      </c>
      <c r="L7" s="8" t="s">
        <v>114</v>
      </c>
      <c r="R7" s="8" t="s">
        <v>115</v>
      </c>
      <c r="V7" s="8" t="s">
        <v>116</v>
      </c>
      <c r="X7" s="10">
        <v>44557</v>
      </c>
      <c r="Y7" s="8" t="s">
        <v>113</v>
      </c>
      <c r="Z7" s="8" t="s">
        <v>117</v>
      </c>
      <c r="AA7" s="8">
        <v>415201375</v>
      </c>
      <c r="AB7" s="8" t="s">
        <v>110</v>
      </c>
      <c r="AC7" s="8" t="s">
        <v>114</v>
      </c>
      <c r="AD7" s="8" t="s">
        <v>115</v>
      </c>
      <c r="AE7" s="8" t="s">
        <v>116</v>
      </c>
      <c r="AG7" s="8">
        <v>247500</v>
      </c>
      <c r="AH7" s="8" t="s">
        <v>118</v>
      </c>
      <c r="AI7" s="8" t="s">
        <v>92</v>
      </c>
      <c r="BN7" s="11" t="s">
        <v>119</v>
      </c>
    </row>
    <row r="8" spans="1:66" ht="14.25" customHeight="1">
      <c r="A8" s="8">
        <v>6</v>
      </c>
      <c r="B8" s="8" t="s">
        <v>120</v>
      </c>
      <c r="C8" s="9">
        <v>44558.408333333333</v>
      </c>
      <c r="D8" s="8" t="s">
        <v>68</v>
      </c>
      <c r="E8" s="8" t="s">
        <v>69</v>
      </c>
      <c r="G8" s="10">
        <v>44558</v>
      </c>
      <c r="H8" s="8" t="s">
        <v>121</v>
      </c>
      <c r="L8" s="8" t="s">
        <v>122</v>
      </c>
      <c r="R8" s="8" t="s">
        <v>123</v>
      </c>
      <c r="V8" s="8" t="s">
        <v>124</v>
      </c>
      <c r="W8" s="8" t="s">
        <v>125</v>
      </c>
      <c r="X8" s="10">
        <v>44558</v>
      </c>
      <c r="Y8" s="8" t="s">
        <v>121</v>
      </c>
      <c r="Z8" s="8" t="s">
        <v>126</v>
      </c>
      <c r="AA8" s="8">
        <v>415102631</v>
      </c>
      <c r="AB8" s="8" t="s">
        <v>75</v>
      </c>
      <c r="AC8" s="8" t="s">
        <v>122</v>
      </c>
      <c r="AD8" s="8" t="s">
        <v>123</v>
      </c>
      <c r="AE8" s="8" t="s">
        <v>124</v>
      </c>
      <c r="AF8" s="8" t="s">
        <v>125</v>
      </c>
      <c r="AG8" s="8">
        <v>280000</v>
      </c>
      <c r="AH8" s="8" t="s">
        <v>127</v>
      </c>
      <c r="AI8" s="8" t="s">
        <v>92</v>
      </c>
      <c r="BN8" s="11" t="s">
        <v>128</v>
      </c>
    </row>
    <row r="9" spans="1:66" ht="14.25" customHeight="1">
      <c r="A9" s="8">
        <v>7</v>
      </c>
      <c r="B9" s="8" t="s">
        <v>129</v>
      </c>
      <c r="C9" s="9">
        <v>44558.548611111109</v>
      </c>
      <c r="D9" s="8" t="s">
        <v>68</v>
      </c>
      <c r="E9" s="8" t="s">
        <v>69</v>
      </c>
      <c r="G9" s="10">
        <v>44558</v>
      </c>
      <c r="H9" s="8" t="s">
        <v>130</v>
      </c>
      <c r="L9" s="8" t="s">
        <v>131</v>
      </c>
      <c r="R9" s="8" t="s">
        <v>132</v>
      </c>
      <c r="V9" s="8" t="s">
        <v>133</v>
      </c>
      <c r="X9" s="10">
        <v>44558</v>
      </c>
      <c r="Y9" s="8" t="s">
        <v>130</v>
      </c>
      <c r="Z9" s="8" t="s">
        <v>134</v>
      </c>
      <c r="AA9" s="8">
        <v>415100817</v>
      </c>
      <c r="AB9" s="8" t="s">
        <v>75</v>
      </c>
      <c r="AC9" s="8" t="s">
        <v>131</v>
      </c>
      <c r="AD9" s="8" t="s">
        <v>132</v>
      </c>
      <c r="AE9" s="8" t="s">
        <v>133</v>
      </c>
      <c r="AG9" s="8">
        <v>50000</v>
      </c>
      <c r="AH9" s="8" t="s">
        <v>135</v>
      </c>
      <c r="AI9" s="8" t="s">
        <v>92</v>
      </c>
      <c r="BN9" s="11" t="s">
        <v>136</v>
      </c>
    </row>
    <row r="10" spans="1:66" ht="14.25" customHeight="1">
      <c r="A10" s="8">
        <v>8</v>
      </c>
      <c r="B10" s="8" t="s">
        <v>137</v>
      </c>
      <c r="C10" s="9">
        <v>44558.576388888891</v>
      </c>
      <c r="D10" s="8" t="s">
        <v>68</v>
      </c>
      <c r="E10" s="8" t="s">
        <v>69</v>
      </c>
      <c r="G10" s="10">
        <v>44558</v>
      </c>
      <c r="H10" s="8" t="s">
        <v>138</v>
      </c>
      <c r="L10" s="8" t="s">
        <v>139</v>
      </c>
      <c r="R10" s="8" t="s">
        <v>140</v>
      </c>
      <c r="V10" s="8" t="s">
        <v>141</v>
      </c>
      <c r="X10" s="10">
        <v>44558</v>
      </c>
      <c r="Y10" s="8" t="s">
        <v>138</v>
      </c>
      <c r="Z10" s="8" t="s">
        <v>142</v>
      </c>
      <c r="AA10" s="8">
        <v>415101682</v>
      </c>
      <c r="AB10" s="8" t="s">
        <v>110</v>
      </c>
      <c r="AC10" s="8" t="s">
        <v>139</v>
      </c>
      <c r="AD10" s="8" t="s">
        <v>140</v>
      </c>
      <c r="AE10" s="8" t="s">
        <v>141</v>
      </c>
      <c r="AG10" s="8">
        <v>300000</v>
      </c>
      <c r="AH10" s="8" t="s">
        <v>143</v>
      </c>
      <c r="AI10" s="8" t="s">
        <v>92</v>
      </c>
      <c r="BN10" s="11" t="s">
        <v>144</v>
      </c>
    </row>
    <row r="11" spans="1:66" ht="14.25" customHeight="1">
      <c r="A11" s="8">
        <v>9</v>
      </c>
      <c r="B11" s="8" t="s">
        <v>145</v>
      </c>
      <c r="C11" s="9">
        <v>44558.59652777778</v>
      </c>
      <c r="D11" s="8" t="s">
        <v>68</v>
      </c>
      <c r="E11" s="8" t="s">
        <v>69</v>
      </c>
      <c r="G11" s="10">
        <v>44558</v>
      </c>
      <c r="H11" s="8" t="s">
        <v>146</v>
      </c>
      <c r="L11" s="8" t="s">
        <v>147</v>
      </c>
      <c r="R11" s="8" t="s">
        <v>148</v>
      </c>
      <c r="V11" s="8" t="s">
        <v>149</v>
      </c>
      <c r="W11" s="8" t="s">
        <v>149</v>
      </c>
      <c r="X11" s="10">
        <v>44558</v>
      </c>
      <c r="Y11" s="8" t="s">
        <v>146</v>
      </c>
      <c r="Z11" s="8" t="s">
        <v>150</v>
      </c>
      <c r="AA11" s="8">
        <v>415101179</v>
      </c>
      <c r="AB11" s="8" t="s">
        <v>75</v>
      </c>
      <c r="AC11" s="8" t="s">
        <v>147</v>
      </c>
      <c r="AD11" s="8" t="s">
        <v>148</v>
      </c>
      <c r="AE11" s="8" t="s">
        <v>149</v>
      </c>
      <c r="AF11" s="8" t="s">
        <v>149</v>
      </c>
      <c r="AG11" s="8">
        <v>200000</v>
      </c>
      <c r="AH11" s="8" t="s">
        <v>151</v>
      </c>
      <c r="AI11" s="8" t="s">
        <v>77</v>
      </c>
      <c r="AJ11" s="12"/>
      <c r="AK11" s="8" t="s">
        <v>152</v>
      </c>
      <c r="AL11" s="8">
        <v>415101179</v>
      </c>
      <c r="AM11" s="8" t="s">
        <v>75</v>
      </c>
      <c r="AN11" s="12"/>
      <c r="BN11" s="11" t="s">
        <v>153</v>
      </c>
    </row>
  </sheetData>
  <phoneticPr fontId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7">
    <tabColor rgb="FF00B0F0"/>
    <pageSetUpPr fitToPage="1"/>
  </sheetPr>
  <dimension ref="B1:BU17"/>
  <sheetViews>
    <sheetView view="pageBreakPreview" zoomScaleNormal="100" zoomScaleSheetLayoutView="100" workbookViewId="0">
      <selection activeCell="F46" sqref="F46"/>
    </sheetView>
  </sheetViews>
  <sheetFormatPr defaultColWidth="9" defaultRowHeight="24" customHeight="1" outlineLevelCol="2"/>
  <cols>
    <col min="1" max="1" width="2.36328125" style="1" customWidth="1"/>
    <col min="2" max="2" width="6.90625" style="1" customWidth="1"/>
    <col min="3" max="3" width="20.26953125" style="1" hidden="1" customWidth="1" outlineLevel="1"/>
    <col min="4" max="4" width="19.6328125" style="1" hidden="1" customWidth="1" outlineLevel="1"/>
    <col min="5" max="5" width="9" style="1" hidden="1" customWidth="1" outlineLevel="1"/>
    <col min="6" max="7" width="10.26953125" style="1" hidden="1" customWidth="1" outlineLevel="1"/>
    <col min="8" max="8" width="14" style="1" hidden="1" customWidth="1" outlineLevel="1"/>
    <col min="9" max="9" width="44.90625" style="1" bestFit="1" customWidth="1" collapsed="1"/>
    <col min="10" max="10" width="22.08984375" style="1" hidden="1" customWidth="1" outlineLevel="1"/>
    <col min="11" max="11" width="13.08984375" style="1" hidden="1" customWidth="1" outlineLevel="1"/>
    <col min="12" max="12" width="22.08984375" style="1" hidden="1" customWidth="1" outlineLevel="1"/>
    <col min="13" max="13" width="9" style="1" hidden="1" customWidth="1" outlineLevel="1"/>
    <col min="14" max="14" width="9.7265625" style="1" hidden="1" customWidth="1" outlineLevel="1"/>
    <col min="15" max="15" width="10.26953125" style="1" hidden="1" customWidth="1" outlineLevel="1"/>
    <col min="16" max="16" width="9" style="1" hidden="1" customWidth="1" outlineLevel="1"/>
    <col min="17" max="17" width="10.26953125" style="1" hidden="1" customWidth="1" outlineLevel="1"/>
    <col min="18" max="18" width="9" style="1" hidden="1" customWidth="1" outlineLevel="1"/>
    <col min="19" max="20" width="10.26953125" style="1" hidden="1" customWidth="1" outlineLevel="1"/>
    <col min="21" max="21" width="10.7265625" style="1" hidden="1" customWidth="1" outlineLevel="1"/>
    <col min="22" max="22" width="10.26953125" style="1" hidden="1" customWidth="1" outlineLevel="1"/>
    <col min="23" max="23" width="16" style="1" hidden="1" customWidth="1" outlineLevel="1"/>
    <col min="24" max="24" width="16.26953125" style="1" hidden="1" customWidth="1" outlineLevel="1"/>
    <col min="25" max="25" width="9.7265625" style="1" hidden="1" customWidth="1" outlineLevel="1"/>
    <col min="26" max="26" width="24" style="1" hidden="1" customWidth="1" outlineLevel="1" collapsed="1"/>
    <col min="27" max="27" width="27.453125" style="1" customWidth="1" collapsed="1"/>
    <col min="28" max="28" width="13.26953125" style="1" hidden="1" customWidth="1" outlineLevel="1"/>
    <col min="29" max="29" width="17.453125" style="1" customWidth="1" collapsed="1"/>
    <col min="30" max="30" width="12.08984375" style="1" hidden="1" customWidth="1" outlineLevel="2"/>
    <col min="31" max="31" width="15.90625" style="1" hidden="1" customWidth="1" outlineLevel="2"/>
    <col min="32" max="32" width="35.7265625" style="1" hidden="1" customWidth="1" outlineLevel="2"/>
    <col min="33" max="33" width="36" style="1" hidden="1" customWidth="1" outlineLevel="2"/>
    <col min="34" max="34" width="13.90625" style="1" customWidth="1" collapsed="1"/>
    <col min="35" max="35" width="57.08984375" style="1" hidden="1" customWidth="1" outlineLevel="1"/>
    <col min="36" max="36" width="18.90625" style="1" customWidth="1" collapsed="1"/>
    <col min="37" max="37" width="17.7265625" style="1" hidden="1" customWidth="1" outlineLevel="1"/>
    <col min="38" max="38" width="17.08984375" style="1" customWidth="1" collapsed="1"/>
    <col min="39" max="39" width="19" style="1" hidden="1" customWidth="1" outlineLevel="1"/>
    <col min="40" max="40" width="20.6328125" style="1" customWidth="1" collapsed="1"/>
    <col min="41" max="41" width="15.26953125" style="1" customWidth="1"/>
    <col min="42" max="42" width="17.36328125" style="1" hidden="1" customWidth="1" outlineLevel="1"/>
    <col min="43" max="43" width="19.26953125" style="1" hidden="1" customWidth="1" outlineLevel="1"/>
    <col min="44" max="44" width="20.90625" style="1" hidden="1" customWidth="1" outlineLevel="1"/>
    <col min="45" max="45" width="15.453125" style="1" hidden="1" customWidth="1" outlineLevel="1"/>
    <col min="46" max="46" width="17.36328125" style="1" hidden="1" customWidth="1" outlineLevel="1"/>
    <col min="47" max="47" width="19.26953125" style="1" hidden="1" customWidth="1" outlineLevel="1"/>
    <col min="48" max="48" width="20.90625" style="1" hidden="1" customWidth="1" outlineLevel="1"/>
    <col min="49" max="49" width="15.453125" style="1" hidden="1" customWidth="1" outlineLevel="1"/>
    <col min="50" max="50" width="17.36328125" style="1" hidden="1" customWidth="1" outlineLevel="1"/>
    <col min="51" max="51" width="19.26953125" style="1" hidden="1" customWidth="1" outlineLevel="1"/>
    <col min="52" max="52" width="20.90625" style="1" hidden="1" customWidth="1" outlineLevel="1"/>
    <col min="53" max="53" width="15.453125" style="1" hidden="1" customWidth="1" outlineLevel="1"/>
    <col min="54" max="54" width="17.36328125" style="1" hidden="1" customWidth="1" outlineLevel="1"/>
    <col min="55" max="55" width="19.26953125" style="1" hidden="1" customWidth="1" outlineLevel="1"/>
    <col min="56" max="56" width="20.90625" style="1" hidden="1" customWidth="1" outlineLevel="1"/>
    <col min="57" max="57" width="15.453125" style="1" hidden="1" customWidth="1" outlineLevel="1"/>
    <col min="58" max="58" width="17.36328125" style="1" hidden="1" customWidth="1" outlineLevel="1"/>
    <col min="59" max="59" width="19.26953125" style="1" hidden="1" customWidth="1" outlineLevel="1"/>
    <col min="60" max="60" width="20.90625" style="1" hidden="1" customWidth="1" outlineLevel="1"/>
    <col min="61" max="61" width="15.453125" style="1" hidden="1" customWidth="1" outlineLevel="1"/>
    <col min="62" max="62" width="17.36328125" style="1" hidden="1" customWidth="1" outlineLevel="1"/>
    <col min="63" max="63" width="19.26953125" style="1" hidden="1" customWidth="1" outlineLevel="1"/>
    <col min="64" max="64" width="20.90625" style="1" hidden="1" customWidth="1" outlineLevel="1"/>
    <col min="65" max="65" width="15.453125" style="1" hidden="1" customWidth="1" outlineLevel="1"/>
    <col min="66" max="67" width="9" style="1" hidden="1" customWidth="1" outlineLevel="1"/>
    <col min="68" max="68" width="17.7265625" style="1" customWidth="1" collapsed="1"/>
    <col min="69" max="69" width="16.6328125" style="1" customWidth="1"/>
    <col min="70" max="70" width="19.453125" style="1" customWidth="1"/>
    <col min="71" max="16384" width="9" style="1"/>
  </cols>
  <sheetData>
    <row r="1" spans="2:73" ht="12" customHeight="1"/>
    <row r="2" spans="2:73" ht="43.5" customHeight="1"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81</v>
      </c>
      <c r="Z2" s="5" t="s">
        <v>25</v>
      </c>
      <c r="AA2" s="4" t="s">
        <v>26</v>
      </c>
      <c r="AB2" s="5" t="s">
        <v>27</v>
      </c>
      <c r="AC2" s="4" t="s">
        <v>28</v>
      </c>
      <c r="AD2" s="5" t="s">
        <v>29</v>
      </c>
      <c r="AE2" s="5" t="s">
        <v>30</v>
      </c>
      <c r="AF2" s="5" t="s">
        <v>31</v>
      </c>
      <c r="AG2" s="5" t="s">
        <v>32</v>
      </c>
      <c r="AH2" s="4" t="s">
        <v>33</v>
      </c>
      <c r="AI2" s="5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  <c r="BG2" s="4" t="s">
        <v>58</v>
      </c>
      <c r="BH2" s="4" t="s">
        <v>59</v>
      </c>
      <c r="BI2" s="4" t="s">
        <v>60</v>
      </c>
      <c r="BJ2" s="4" t="s">
        <v>61</v>
      </c>
      <c r="BK2" s="4" t="s">
        <v>62</v>
      </c>
      <c r="BL2" s="4" t="s">
        <v>63</v>
      </c>
      <c r="BM2" s="4" t="s">
        <v>64</v>
      </c>
      <c r="BN2" s="5" t="s">
        <v>65</v>
      </c>
      <c r="BO2" s="5" t="s">
        <v>66</v>
      </c>
      <c r="BP2" s="6" t="s">
        <v>82</v>
      </c>
      <c r="BQ2" s="6" t="s">
        <v>159</v>
      </c>
      <c r="BR2" s="5" t="s">
        <v>160</v>
      </c>
    </row>
    <row r="3" spans="2:73" ht="24" customHeight="1">
      <c r="B3" s="1">
        <f>IF(原本!A3="","",原本!A3)</f>
        <v>1</v>
      </c>
      <c r="C3" s="1" t="str">
        <f>IF(原本!B3="","",原本!B3)</f>
        <v>164_023_465_8900</v>
      </c>
      <c r="D3" s="2">
        <f>IF(原本!C3="","",原本!C3)</f>
        <v>44553.572222222225</v>
      </c>
      <c r="E3" s="1" t="str">
        <f>IF(原本!D3="","",原本!D3)</f>
        <v>受付済み</v>
      </c>
      <c r="F3" s="1" t="str">
        <f>IF(原本!E3="","",原本!E3)</f>
        <v>一般</v>
      </c>
      <c r="G3" s="1" t="str">
        <f>IF(原本!F3="","",原本!F3)</f>
        <v/>
      </c>
      <c r="H3" s="3">
        <f>IF(原本!G3="","",原本!G3)</f>
        <v>44553</v>
      </c>
      <c r="I3" s="1" t="str">
        <f>IF(原本!H3="","",原本!H3)</f>
        <v>特定非営利活動法人みどり会</v>
      </c>
      <c r="J3" s="1" t="str">
        <f>IF(原本!I3="","",原本!I3)</f>
        <v/>
      </c>
      <c r="K3" s="1" t="str">
        <f>IF(原本!J3="","",原本!J3)</f>
        <v/>
      </c>
      <c r="L3" s="1" t="str">
        <f>IF(原本!K3="","",原本!K3)</f>
        <v/>
      </c>
      <c r="M3" s="1" t="str">
        <f>IF(原本!L3="","",原本!L3)</f>
        <v>鈴木俊洋</v>
      </c>
      <c r="N3" s="1" t="str">
        <f>IF(原本!M3="","",原本!M3)</f>
        <v/>
      </c>
      <c r="O3" s="1" t="str">
        <f>IF(原本!N3="","",原本!N3)</f>
        <v/>
      </c>
      <c r="P3" s="1" t="str">
        <f>IF(原本!O3="","",原本!O3)</f>
        <v/>
      </c>
      <c r="Q3" s="1" t="str">
        <f>IF(原本!P3="","",原本!P3)</f>
        <v/>
      </c>
      <c r="R3" s="1" t="str">
        <f>IF(原本!Q3="","",原本!Q3)</f>
        <v/>
      </c>
      <c r="S3" s="1" t="str">
        <f>IF(原本!R3="","",原本!R3)</f>
        <v>080-3198-2982</v>
      </c>
      <c r="T3" s="1" t="str">
        <f>IF(原本!S3="","",原本!S3)</f>
        <v/>
      </c>
      <c r="U3" s="1" t="str">
        <f>IF(原本!T3="","",原本!T3)</f>
        <v/>
      </c>
      <c r="V3" s="1" t="str">
        <f>IF(原本!U3="","",原本!U3)</f>
        <v/>
      </c>
      <c r="W3" s="1" t="str">
        <f>IF(原本!V3="","",原本!V3)</f>
        <v>t-suzuki@s-midorikai.org</v>
      </c>
      <c r="X3" s="1" t="str">
        <f>IF(原本!W3="","",原本!W3)</f>
        <v/>
      </c>
      <c r="Y3" s="1">
        <f>IF(原本!X3="","",原本!X3)</f>
        <v>44553</v>
      </c>
      <c r="Z3" s="1" t="str">
        <f>IF(原本!Y3="","",原本!Y3)</f>
        <v>特定非営利活動法人みどり会</v>
      </c>
      <c r="AA3" s="1" t="str">
        <f>IF(原本!Z3="","",原本!Z3)</f>
        <v>みどり工房長町</v>
      </c>
      <c r="AB3" s="1">
        <f>IF(原本!AA3="","",原本!AA3)</f>
        <v>415401819</v>
      </c>
      <c r="AC3" s="1" t="str">
        <f>IF(原本!AB3="","",原本!AB3)</f>
        <v>就労継続支援B型</v>
      </c>
      <c r="AD3" s="1" t="str">
        <f>IF(原本!AC3="","",原本!AC3)</f>
        <v>鈴木俊洋</v>
      </c>
      <c r="AE3" s="1" t="str">
        <f>IF(原本!AD3="","",原本!AD3)</f>
        <v>080-3198-2982</v>
      </c>
      <c r="AF3" s="1" t="str">
        <f>IF(原本!AE3="","",原本!AE3)</f>
        <v>t-suzuki@s-midorikai.org</v>
      </c>
      <c r="AG3" s="1" t="str">
        <f>IF(原本!AF3="","",原本!AF3)</f>
        <v/>
      </c>
      <c r="AH3" s="7">
        <f>IF(原本!AG3="","",原本!AG3)</f>
        <v>150000</v>
      </c>
      <c r="AI3" s="1" t="str">
        <f>IF(原本!AH3="","",原本!AH3)</f>
        <v>02_（別紙1）所要額調書_【特定非営利活動法人みどり会】.xlsx(90KB)</v>
      </c>
      <c r="AJ3" s="1" t="str">
        <f>IF(原本!AI3="","",原本!AI3)</f>
        <v>一括申請予定あり</v>
      </c>
      <c r="AK3" s="1" t="str">
        <f>IF(原本!AJ3="","",原本!AJ3)</f>
        <v>別添1まで</v>
      </c>
      <c r="AL3" s="1" t="str">
        <f>IF(原本!AK3="","",原本!AK3)</f>
        <v>みどり工房泉中央</v>
      </c>
      <c r="AM3" s="1">
        <f>IF(原本!AL3="","",原本!AL3)</f>
        <v>415501295</v>
      </c>
      <c r="AN3" s="1" t="str">
        <f>IF(原本!AM3="","",原本!AM3)</f>
        <v>就労継続支援B型</v>
      </c>
      <c r="AO3" s="7">
        <f>IF(原本!AN3="","",原本!AN3)</f>
        <v>50000</v>
      </c>
      <c r="AP3" s="1" t="str">
        <f>IF(原本!AO3="","",原本!AO3)</f>
        <v/>
      </c>
      <c r="AQ3" s="1" t="str">
        <f>IF(原本!AP3="","",原本!AP3)</f>
        <v/>
      </c>
      <c r="AR3" s="1" t="str">
        <f>IF(原本!AQ3="","",原本!AQ3)</f>
        <v/>
      </c>
      <c r="AS3" s="7" t="str">
        <f>IF(原本!AR3="","",原本!AR3)</f>
        <v/>
      </c>
      <c r="AT3" s="1" t="str">
        <f>IF(原本!AS3="","",原本!AS3)</f>
        <v/>
      </c>
      <c r="AU3" s="1" t="str">
        <f>IF(原本!AT3="","",原本!AT3)</f>
        <v/>
      </c>
      <c r="AV3" s="1" t="str">
        <f>IF(原本!AU3="","",原本!AU3)</f>
        <v/>
      </c>
      <c r="AW3" s="7" t="str">
        <f>IF(原本!AV3="","",原本!AV3)</f>
        <v/>
      </c>
      <c r="AX3" s="1" t="str">
        <f>IF(原本!AW3="","",原本!AW3)</f>
        <v/>
      </c>
      <c r="AY3" s="1" t="str">
        <f>IF(原本!AX3="","",原本!AX3)</f>
        <v/>
      </c>
      <c r="AZ3" s="1" t="str">
        <f>IF(原本!AY3="","",原本!AY3)</f>
        <v/>
      </c>
      <c r="BA3" s="7" t="str">
        <f>IF(原本!AZ3="","",原本!AZ3)</f>
        <v/>
      </c>
      <c r="BB3" s="1" t="str">
        <f>IF(原本!BA3="","",原本!BA3)</f>
        <v/>
      </c>
      <c r="BC3" s="1" t="str">
        <f>IF(原本!BB3="","",原本!BB3)</f>
        <v/>
      </c>
      <c r="BD3" s="1" t="str">
        <f>IF(原本!BC3="","",原本!BC3)</f>
        <v/>
      </c>
      <c r="BE3" s="7" t="str">
        <f>IF(原本!BD3="","",原本!BD3)</f>
        <v/>
      </c>
      <c r="BF3" s="1" t="str">
        <f>IF(原本!BE3="","",原本!BE3)</f>
        <v/>
      </c>
      <c r="BG3" s="1" t="str">
        <f>IF(原本!BF3="","",原本!BF3)</f>
        <v/>
      </c>
      <c r="BH3" s="1" t="str">
        <f>IF(原本!BG3="","",原本!BG3)</f>
        <v/>
      </c>
      <c r="BI3" s="7" t="str">
        <f>IF(原本!BH3="","",原本!BH3)</f>
        <v/>
      </c>
      <c r="BJ3" s="1" t="str">
        <f>IF(原本!BI3="","",原本!BI3)</f>
        <v/>
      </c>
      <c r="BK3" s="1" t="str">
        <f>IF(原本!BJ3="","",原本!BJ3)</f>
        <v/>
      </c>
      <c r="BL3" s="1" t="str">
        <f>IF(原本!BK3="","",原本!BK3)</f>
        <v/>
      </c>
      <c r="BM3" s="7" t="str">
        <f>IF(原本!BL3="","",原本!BL3)</f>
        <v/>
      </c>
      <c r="BN3" s="1" t="str">
        <f>IF(原本!BM3="","",原本!BM3)</f>
        <v/>
      </c>
      <c r="BO3" s="1" t="str">
        <f>IF(原本!BN3="","",原本!BN3)</f>
        <v>2021/12/23 13:44:18 申し込み_x000D_
2021/12/23 13:47:04 「生産活動拡大支援事業　所要額調書」をアップロードしてください 添付ファイル 02_（別紙1）所要額調書_【特定非営利活動法人みどり会】.xlsx 無害化_x000D_
2021/12/23 15:41:49  受付完了(参加団体-仙台市-健康福祉局障害福祉部障害企画課社会参加係 審査者　１)</v>
      </c>
      <c r="BP3" s="7">
        <f>IFERROR(INDEX($BT$3:$BU$8,MATCH(テーブル1[[#This Row],[一括申請事業所数]],$BT$3:$BT$8,0),2),1)</f>
        <v>2</v>
      </c>
      <c r="BQ3" s="7">
        <f t="shared" ref="BQ3" si="0">SUM(AH3,AO3,AS3,AW3,BA3,BE3,BI3,BM3)</f>
        <v>200000</v>
      </c>
      <c r="BR3" s="7">
        <f>150000+50000</f>
        <v>200000</v>
      </c>
      <c r="BT3" s="1" t="s">
        <v>78</v>
      </c>
      <c r="BU3" s="1">
        <v>2</v>
      </c>
    </row>
    <row r="4" spans="2:73" ht="24" customHeight="1">
      <c r="B4" s="1">
        <f>IF(原本!A5="","",原本!A5)</f>
        <v>3</v>
      </c>
      <c r="C4" s="1" t="str">
        <f>IF(原本!B5="","",原本!B5)</f>
        <v>164_040_440_3302</v>
      </c>
      <c r="D4" s="2">
        <f>IF(原本!C5="","",原本!C5)</f>
        <v>44555.536805555559</v>
      </c>
      <c r="E4" s="1" t="str">
        <f>IF(原本!D5="","",原本!D5)</f>
        <v>受付済み</v>
      </c>
      <c r="F4" s="1" t="str">
        <f>IF(原本!E5="","",原本!E5)</f>
        <v>一般</v>
      </c>
      <c r="G4" s="1" t="str">
        <f>IF(原本!F5="","",原本!F5)</f>
        <v/>
      </c>
      <c r="H4" s="3">
        <f>IF(原本!G5="","",原本!G5)</f>
        <v>44555</v>
      </c>
      <c r="I4" s="1" t="str">
        <f>IF(原本!H5="","",原本!H5)</f>
        <v>認定特定非営利活動法人ばざーる太白社会事業センター</v>
      </c>
      <c r="J4" s="1" t="str">
        <f>IF(原本!I5="","",原本!I5)</f>
        <v/>
      </c>
      <c r="K4" s="1" t="str">
        <f>IF(原本!J5="","",原本!J5)</f>
        <v/>
      </c>
      <c r="L4" s="1" t="str">
        <f>IF(原本!K5="","",原本!K5)</f>
        <v/>
      </c>
      <c r="M4" s="1" t="str">
        <f>IF(原本!L5="","",原本!L5)</f>
        <v>管理者　千田裕子</v>
      </c>
      <c r="N4" s="1" t="str">
        <f>IF(原本!M5="","",原本!M5)</f>
        <v/>
      </c>
      <c r="O4" s="1" t="str">
        <f>IF(原本!N5="","",原本!N5)</f>
        <v/>
      </c>
      <c r="P4" s="1" t="str">
        <f>IF(原本!O5="","",原本!O5)</f>
        <v/>
      </c>
      <c r="Q4" s="1" t="str">
        <f>IF(原本!P5="","",原本!P5)</f>
        <v/>
      </c>
      <c r="R4" s="1" t="str">
        <f>IF(原本!Q5="","",原本!Q5)</f>
        <v/>
      </c>
      <c r="S4" s="1" t="str">
        <f>IF(原本!R5="","",原本!R5)</f>
        <v>022-228-5060</v>
      </c>
      <c r="T4" s="1" t="str">
        <f>IF(原本!S5="","",原本!S5)</f>
        <v/>
      </c>
      <c r="U4" s="1" t="str">
        <f>IF(原本!T5="","",原本!T5)</f>
        <v/>
      </c>
      <c r="V4" s="1" t="str">
        <f>IF(原本!U5="","",原本!U5)</f>
        <v/>
      </c>
      <c r="W4" s="1" t="str">
        <f>IF(原本!V5="","",原本!V5)</f>
        <v>kibounohoshib@yahoo.co.jp</v>
      </c>
      <c r="X4" s="1" t="str">
        <f>IF(原本!W5="","",原本!W5)</f>
        <v/>
      </c>
      <c r="Y4" s="1">
        <f>IF(原本!X5="","",原本!X5)</f>
        <v>44555</v>
      </c>
      <c r="Z4" s="1" t="str">
        <f>IF(原本!Y5="","",原本!Y5)</f>
        <v>認定特定非営利活動法人ばざーる太白社会事業センター</v>
      </c>
      <c r="AA4" s="1" t="str">
        <f>IF(原本!Z5="","",原本!Z5)</f>
        <v>希望の星</v>
      </c>
      <c r="AB4" s="1">
        <f>IF(原本!AA5="","",原本!AA5)</f>
        <v>415401470</v>
      </c>
      <c r="AC4" s="1" t="str">
        <f>IF(原本!AB5="","",原本!AB5)</f>
        <v>就労継続支援B型</v>
      </c>
      <c r="AD4" s="1" t="str">
        <f>IF(原本!AC5="","",原本!AC5)</f>
        <v>管理者　千田裕子</v>
      </c>
      <c r="AE4" s="1" t="str">
        <f>IF(原本!AD5="","",原本!AD5)</f>
        <v>022-228-5060</v>
      </c>
      <c r="AF4" s="1" t="str">
        <f>IF(原本!AE5="","",原本!AE5)</f>
        <v>kibounohoshib@yahoo.co.jp</v>
      </c>
      <c r="AG4" s="1" t="str">
        <f>IF(原本!AF5="","",原本!AF5)</f>
        <v/>
      </c>
      <c r="AH4" s="7">
        <f>IF(原本!AG5="","",原本!AG5)</f>
        <v>250000</v>
      </c>
      <c r="AI4" s="1" t="str">
        <f>IF(原本!AH5="","",原本!AH5)</f>
        <v>02_（別紙1）所要額調書_【認定NPO法人ばざーる太白社会事業センター】.xlsx(91KB)</v>
      </c>
      <c r="AJ4" s="1" t="str">
        <f>IF(原本!AI5="","",原本!AI5)</f>
        <v>一括申請予定なし</v>
      </c>
      <c r="AK4" s="1" t="str">
        <f>IF(原本!AJ5="","",原本!AJ5)</f>
        <v/>
      </c>
      <c r="AL4" s="1" t="str">
        <f>IF(原本!AK5="","",原本!AK5)</f>
        <v/>
      </c>
      <c r="AM4" s="1" t="str">
        <f>IF(原本!AL5="","",原本!AL5)</f>
        <v/>
      </c>
      <c r="AN4" s="1" t="str">
        <f>IF(原本!AM5="","",原本!AM5)</f>
        <v/>
      </c>
      <c r="AO4" s="7" t="str">
        <f>IF(原本!AN5="","",原本!AN5)</f>
        <v/>
      </c>
      <c r="AP4" s="1" t="str">
        <f>IF(原本!AO5="","",原本!AO5)</f>
        <v/>
      </c>
      <c r="AQ4" s="1" t="str">
        <f>IF(原本!AP5="","",原本!AP5)</f>
        <v/>
      </c>
      <c r="AR4" s="1" t="str">
        <f>IF(原本!AQ5="","",原本!AQ5)</f>
        <v/>
      </c>
      <c r="AS4" s="7" t="str">
        <f>IF(原本!AR5="","",原本!AR5)</f>
        <v/>
      </c>
      <c r="AT4" s="1" t="str">
        <f>IF(原本!AS5="","",原本!AS5)</f>
        <v/>
      </c>
      <c r="AU4" s="1" t="str">
        <f>IF(原本!AT5="","",原本!AT5)</f>
        <v/>
      </c>
      <c r="AV4" s="1" t="str">
        <f>IF(原本!AU5="","",原本!AU5)</f>
        <v/>
      </c>
      <c r="AW4" s="7" t="str">
        <f>IF(原本!AV5="","",原本!AV5)</f>
        <v/>
      </c>
      <c r="AX4" s="1" t="str">
        <f>IF(原本!AW5="","",原本!AW5)</f>
        <v/>
      </c>
      <c r="AY4" s="1" t="str">
        <f>IF(原本!AX5="","",原本!AX5)</f>
        <v/>
      </c>
      <c r="AZ4" s="1" t="str">
        <f>IF(原本!AY5="","",原本!AY5)</f>
        <v/>
      </c>
      <c r="BA4" s="7" t="str">
        <f>IF(原本!AZ5="","",原本!AZ5)</f>
        <v/>
      </c>
      <c r="BB4" s="1" t="str">
        <f>IF(原本!BA5="","",原本!BA5)</f>
        <v/>
      </c>
      <c r="BC4" s="1" t="str">
        <f>IF(原本!BB5="","",原本!BB5)</f>
        <v/>
      </c>
      <c r="BD4" s="1" t="str">
        <f>IF(原本!BC5="","",原本!BC5)</f>
        <v/>
      </c>
      <c r="BE4" s="7" t="str">
        <f>IF(原本!BD5="","",原本!BD5)</f>
        <v/>
      </c>
      <c r="BF4" s="1" t="str">
        <f>IF(原本!BE5="","",原本!BE5)</f>
        <v/>
      </c>
      <c r="BG4" s="1" t="str">
        <f>IF(原本!BF5="","",原本!BF5)</f>
        <v/>
      </c>
      <c r="BH4" s="1" t="str">
        <f>IF(原本!BG5="","",原本!BG5)</f>
        <v/>
      </c>
      <c r="BI4" s="7" t="str">
        <f>IF(原本!BH5="","",原本!BH5)</f>
        <v/>
      </c>
      <c r="BJ4" s="1" t="str">
        <f>IF(原本!BI5="","",原本!BI5)</f>
        <v/>
      </c>
      <c r="BK4" s="1" t="str">
        <f>IF(原本!BJ5="","",原本!BJ5)</f>
        <v/>
      </c>
      <c r="BL4" s="1" t="str">
        <f>IF(原本!BK5="","",原本!BK5)</f>
        <v/>
      </c>
      <c r="BM4" s="7" t="str">
        <f>IF(原本!BL5="","",原本!BL5)</f>
        <v/>
      </c>
      <c r="BN4" s="1" t="str">
        <f>IF(原本!BM5="","",原本!BM5)</f>
        <v/>
      </c>
      <c r="BO4" s="1" t="str">
        <f>IF(原本!BN5="","",原本!BN5)</f>
        <v>2021/12/25 12:53:23 申し込み_x000D_
2021/12/25 12:55:03 「生産活動拡大支援事業　所要額調書」をアップロードしてください 添付ファイル 02_（別紙1）所要額調書_【認定NPO法人ばざーる太白社会事業センター】.xlsx 無害化_x000D_
2021/12/27 11:53:30  受付完了(参加団体-仙台市-健康福祉局障害福祉部障害企画課社会参加係 審査者　１)</v>
      </c>
      <c r="BP4" s="7">
        <f>IFERROR(INDEX($BT$3:$BU$8,MATCH(テーブル1[[#This Row],[一括申請事業所数]],$BT$3:$BT$8,0),2),1)</f>
        <v>1</v>
      </c>
      <c r="BQ4" s="7">
        <f t="shared" ref="BQ4:BQ10" si="1">SUM(AH4,AO4,AS4,AW4,BA4,BE4,BI4,BM4)</f>
        <v>250000</v>
      </c>
      <c r="BR4" s="7">
        <f>SUM(396000,46450,20000,51020)</f>
        <v>513470</v>
      </c>
      <c r="BT4" s="1" t="s">
        <v>154</v>
      </c>
      <c r="BU4" s="1">
        <v>4</v>
      </c>
    </row>
    <row r="5" spans="2:73" ht="24" customHeight="1">
      <c r="B5" s="1">
        <f>IF(原本!A6="","",原本!A6)</f>
        <v>4</v>
      </c>
      <c r="C5" s="1" t="str">
        <f>IF(原本!B6="","",原本!B6)</f>
        <v>164_058_455_7427</v>
      </c>
      <c r="D5" s="2">
        <f>IF(原本!C6="","",原本!C6)</f>
        <v>44557.621527777781</v>
      </c>
      <c r="E5" s="1" t="str">
        <f>IF(原本!D6="","",原本!D6)</f>
        <v>受付済み</v>
      </c>
      <c r="F5" s="1" t="str">
        <f>IF(原本!E6="","",原本!E6)</f>
        <v>一般</v>
      </c>
      <c r="G5" s="1" t="str">
        <f>IF(原本!F6="","",原本!F6)</f>
        <v/>
      </c>
      <c r="H5" s="3">
        <f>IF(原本!G6="","",原本!G6)</f>
        <v>44557</v>
      </c>
      <c r="I5" s="1" t="str">
        <f>IF(原本!H6="","",原本!H6)</f>
        <v>株式会社なでしこ</v>
      </c>
      <c r="J5" s="1" t="str">
        <f>IF(原本!I6="","",原本!I6)</f>
        <v/>
      </c>
      <c r="K5" s="1" t="str">
        <f>IF(原本!J6="","",原本!J6)</f>
        <v/>
      </c>
      <c r="L5" s="1" t="str">
        <f>IF(原本!K6="","",原本!K6)</f>
        <v/>
      </c>
      <c r="M5" s="1" t="str">
        <f>IF(原本!L6="","",原本!L6)</f>
        <v>太田　未央</v>
      </c>
      <c r="N5" s="1" t="str">
        <f>IF(原本!M6="","",原本!M6)</f>
        <v/>
      </c>
      <c r="O5" s="1" t="str">
        <f>IF(原本!N6="","",原本!N6)</f>
        <v/>
      </c>
      <c r="P5" s="1" t="str">
        <f>IF(原本!O6="","",原本!O6)</f>
        <v/>
      </c>
      <c r="Q5" s="1" t="str">
        <f>IF(原本!P6="","",原本!P6)</f>
        <v/>
      </c>
      <c r="R5" s="1" t="str">
        <f>IF(原本!Q6="","",原本!Q6)</f>
        <v/>
      </c>
      <c r="S5" s="1" t="str">
        <f>IF(原本!R6="","",原本!R6)</f>
        <v>022-385-7223</v>
      </c>
      <c r="T5" s="1" t="str">
        <f>IF(原本!S6="","",原本!S6)</f>
        <v/>
      </c>
      <c r="U5" s="1" t="str">
        <f>IF(原本!T6="","",原本!T6)</f>
        <v/>
      </c>
      <c r="V5" s="1" t="str">
        <f>IF(原本!U6="","",原本!U6)</f>
        <v/>
      </c>
      <c r="W5" s="1" t="str">
        <f>IF(原本!V6="","",原本!V6)</f>
        <v>mio.ota@tcm-s.jp</v>
      </c>
      <c r="X5" s="1" t="str">
        <f>IF(原本!W6="","",原本!W6)</f>
        <v>kanada@tcm-s.jp</v>
      </c>
      <c r="Y5" s="1">
        <f>IF(原本!X6="","",原本!X6)</f>
        <v>44557</v>
      </c>
      <c r="Z5" s="1" t="str">
        <f>IF(原本!Y6="","",原本!Y6)</f>
        <v>株式会社なでしこ</v>
      </c>
      <c r="AA5" s="1" t="str">
        <f>IF(原本!Z6="","",原本!Z6)</f>
        <v>就労継続支援事業所なでしこ</v>
      </c>
      <c r="AB5" s="1">
        <f>IF(原本!AA6="","",原本!AA6)</f>
        <v>415300995</v>
      </c>
      <c r="AC5" s="1" t="str">
        <f>IF(原本!AB6="","",原本!AB6)</f>
        <v>就労継続支援B型</v>
      </c>
      <c r="AD5" s="1" t="str">
        <f>IF(原本!AC6="","",原本!AC6)</f>
        <v>太田　未央</v>
      </c>
      <c r="AE5" s="1" t="str">
        <f>IF(原本!AD6="","",原本!AD6)</f>
        <v>022-385-7223</v>
      </c>
      <c r="AF5" s="1" t="str">
        <f>IF(原本!AE6="","",原本!AE6)</f>
        <v>mio.ota@tcm-s.jp</v>
      </c>
      <c r="AG5" s="1" t="str">
        <f>IF(原本!AF6="","",原本!AF6)</f>
        <v>kanada@tcm-s.jp</v>
      </c>
      <c r="AH5" s="7">
        <f>IF(原本!AG6="","",原本!AG6)</f>
        <v>300000</v>
      </c>
      <c r="AI5" s="1" t="str">
        <f>IF(原本!AH6="","",原本!AH6)</f>
        <v>02_（別紙1）所要額調書_【なでしこ】.xlsx(90KB)</v>
      </c>
      <c r="AJ5" s="1" t="str">
        <f>IF(原本!AI6="","",原本!AI6)</f>
        <v>一括申請予定あり</v>
      </c>
      <c r="AK5" s="1" t="str">
        <f>IF(原本!AJ6="","",原本!AJ6)</f>
        <v>別添1まで</v>
      </c>
      <c r="AL5" s="1" t="str">
        <f>IF(原本!AK6="","",原本!AK6)</f>
        <v>就労継続支援事業所なでしこ</v>
      </c>
      <c r="AM5" s="1">
        <f>IF(原本!AL6="","",原本!AL6)</f>
        <v>415300995</v>
      </c>
      <c r="AN5" s="1" t="str">
        <f>IF(原本!AM6="","",原本!AM6)</f>
        <v>就労継続支援A型</v>
      </c>
      <c r="AO5" s="7">
        <f>IF(原本!AN6="","",原本!AN6)</f>
        <v>200000</v>
      </c>
      <c r="AP5" s="1" t="str">
        <f>IF(原本!AO6="","",原本!AO6)</f>
        <v/>
      </c>
      <c r="AQ5" s="1" t="str">
        <f>IF(原本!AP6="","",原本!AP6)</f>
        <v/>
      </c>
      <c r="AR5" s="1" t="str">
        <f>IF(原本!AQ6="","",原本!AQ6)</f>
        <v/>
      </c>
      <c r="AS5" s="7" t="str">
        <f>IF(原本!AR6="","",原本!AR6)</f>
        <v/>
      </c>
      <c r="AT5" s="1" t="str">
        <f>IF(原本!AS6="","",原本!AS6)</f>
        <v/>
      </c>
      <c r="AU5" s="1" t="str">
        <f>IF(原本!AT6="","",原本!AT6)</f>
        <v/>
      </c>
      <c r="AV5" s="1" t="str">
        <f>IF(原本!AU6="","",原本!AU6)</f>
        <v/>
      </c>
      <c r="AW5" s="7" t="str">
        <f>IF(原本!AV6="","",原本!AV6)</f>
        <v/>
      </c>
      <c r="AX5" s="1" t="str">
        <f>IF(原本!AW6="","",原本!AW6)</f>
        <v/>
      </c>
      <c r="AY5" s="1" t="str">
        <f>IF(原本!AX6="","",原本!AX6)</f>
        <v/>
      </c>
      <c r="AZ5" s="1" t="str">
        <f>IF(原本!AY6="","",原本!AY6)</f>
        <v/>
      </c>
      <c r="BA5" s="7" t="str">
        <f>IF(原本!AZ6="","",原本!AZ6)</f>
        <v/>
      </c>
      <c r="BB5" s="1" t="str">
        <f>IF(原本!BA6="","",原本!BA6)</f>
        <v/>
      </c>
      <c r="BC5" s="1" t="str">
        <f>IF(原本!BB6="","",原本!BB6)</f>
        <v/>
      </c>
      <c r="BD5" s="1" t="str">
        <f>IF(原本!BC6="","",原本!BC6)</f>
        <v/>
      </c>
      <c r="BE5" s="7" t="str">
        <f>IF(原本!BD6="","",原本!BD6)</f>
        <v/>
      </c>
      <c r="BF5" s="1" t="str">
        <f>IF(原本!BE6="","",原本!BE6)</f>
        <v/>
      </c>
      <c r="BG5" s="1" t="str">
        <f>IF(原本!BF6="","",原本!BF6)</f>
        <v/>
      </c>
      <c r="BH5" s="1" t="str">
        <f>IF(原本!BG6="","",原本!BG6)</f>
        <v/>
      </c>
      <c r="BI5" s="7" t="str">
        <f>IF(原本!BH6="","",原本!BH6)</f>
        <v/>
      </c>
      <c r="BJ5" s="1" t="str">
        <f>IF(原本!BI6="","",原本!BI6)</f>
        <v/>
      </c>
      <c r="BK5" s="1" t="str">
        <f>IF(原本!BJ6="","",原本!BJ6)</f>
        <v/>
      </c>
      <c r="BL5" s="1" t="str">
        <f>IF(原本!BK6="","",原本!BK6)</f>
        <v/>
      </c>
      <c r="BM5" s="7" t="str">
        <f>IF(原本!BL6="","",原本!BL6)</f>
        <v/>
      </c>
      <c r="BN5" s="1" t="str">
        <f>IF(原本!BM6="","",原本!BM6)</f>
        <v/>
      </c>
      <c r="BO5" s="1" t="str">
        <f>IF(原本!BN6="","",原本!BN6)</f>
        <v>2021/12/27 14:55:57 申し込み_x000D_
2021/12/27 14:57:14 「生産活動拡大支援事業　所要額調書」をアップロードしてください 添付ファイル 02_（別紙1）所要額調書_【なでしこ】.xlsx 無害化_x000D_
2021/12/28 09:56:10  受付完了(参加団体-仙台市-健康福祉局障害福祉部障害企画課社会参加係 審査者　１)</v>
      </c>
      <c r="BP5" s="7">
        <f>IFERROR(INDEX($BT$3:$BU$8,MATCH(テーブル1[[#This Row],[一括申請事業所数]],$BT$3:$BT$8,0),2),1)</f>
        <v>2</v>
      </c>
      <c r="BQ5" s="7">
        <f t="shared" si="1"/>
        <v>500000</v>
      </c>
      <c r="BR5" s="7">
        <f>SUM(160000,50000,150000,100000,100000,50000)</f>
        <v>610000</v>
      </c>
      <c r="BT5" s="1" t="s">
        <v>155</v>
      </c>
      <c r="BU5" s="1">
        <v>5</v>
      </c>
    </row>
    <row r="6" spans="2:73" ht="24" customHeight="1">
      <c r="B6" s="1">
        <f>IF(原本!A7="","",原本!A7)</f>
        <v>5</v>
      </c>
      <c r="C6" s="1" t="str">
        <f>IF(原本!B7="","",原本!B7)</f>
        <v>164_060_579_6450</v>
      </c>
      <c r="D6" s="2">
        <f>IF(原本!C7="","",原本!C7)</f>
        <v>44557.867361111108</v>
      </c>
      <c r="E6" s="1" t="str">
        <f>IF(原本!D7="","",原本!D7)</f>
        <v>受付済み</v>
      </c>
      <c r="F6" s="1" t="str">
        <f>IF(原本!E7="","",原本!E7)</f>
        <v>一般</v>
      </c>
      <c r="G6" s="1" t="str">
        <f>IF(原本!F7="","",原本!F7)</f>
        <v/>
      </c>
      <c r="H6" s="3">
        <f>IF(原本!G7="","",原本!G7)</f>
        <v>44557</v>
      </c>
      <c r="I6" s="1" t="str">
        <f>IF(原本!H7="","",原本!H7)</f>
        <v>特定非営利活動法人ほっぷの森</v>
      </c>
      <c r="J6" s="1" t="str">
        <f>IF(原本!I7="","",原本!I7)</f>
        <v/>
      </c>
      <c r="K6" s="1" t="str">
        <f>IF(原本!J7="","",原本!J7)</f>
        <v/>
      </c>
      <c r="L6" s="1" t="str">
        <f>IF(原本!K7="","",原本!K7)</f>
        <v/>
      </c>
      <c r="M6" s="1" t="str">
        <f>IF(原本!L7="","",原本!L7)</f>
        <v>菊田俊彦</v>
      </c>
      <c r="N6" s="1" t="str">
        <f>IF(原本!M7="","",原本!M7)</f>
        <v/>
      </c>
      <c r="O6" s="1" t="str">
        <f>IF(原本!N7="","",原本!N7)</f>
        <v/>
      </c>
      <c r="P6" s="1" t="str">
        <f>IF(原本!O7="","",原本!O7)</f>
        <v/>
      </c>
      <c r="Q6" s="1" t="str">
        <f>IF(原本!P7="","",原本!P7)</f>
        <v/>
      </c>
      <c r="R6" s="1" t="str">
        <f>IF(原本!Q7="","",原本!Q7)</f>
        <v/>
      </c>
      <c r="S6" s="1" t="str">
        <f>IF(原本!R7="","",原本!R7)</f>
        <v>022-299-2888</v>
      </c>
      <c r="T6" s="1" t="str">
        <f>IF(原本!S7="","",原本!S7)</f>
        <v/>
      </c>
      <c r="U6" s="1" t="str">
        <f>IF(原本!T7="","",原本!T7)</f>
        <v/>
      </c>
      <c r="V6" s="1" t="str">
        <f>IF(原本!U7="","",原本!U7)</f>
        <v/>
      </c>
      <c r="W6" s="1" t="str">
        <f>IF(原本!V7="","",原本!V7)</f>
        <v>kikuta@hop-miyagi.org</v>
      </c>
      <c r="X6" s="1" t="str">
        <f>IF(原本!W7="","",原本!W7)</f>
        <v/>
      </c>
      <c r="Y6" s="1">
        <f>IF(原本!X7="","",原本!X7)</f>
        <v>44557</v>
      </c>
      <c r="Z6" s="1" t="str">
        <f>IF(原本!Y7="","",原本!Y7)</f>
        <v>特定非営利活動法人ほっぷの森</v>
      </c>
      <c r="AA6" s="1" t="str">
        <f>IF(原本!Z7="","",原本!Z7)</f>
        <v>TFU Cafeteria Olive</v>
      </c>
      <c r="AB6" s="1">
        <f>IF(原本!AA7="","",原本!AA7)</f>
        <v>415201375</v>
      </c>
      <c r="AC6" s="1" t="str">
        <f>IF(原本!AB7="","",原本!AB7)</f>
        <v>就労継続支援A型</v>
      </c>
      <c r="AD6" s="1" t="str">
        <f>IF(原本!AC7="","",原本!AC7)</f>
        <v>菊田俊彦</v>
      </c>
      <c r="AE6" s="1" t="str">
        <f>IF(原本!AD7="","",原本!AD7)</f>
        <v>022-299-2888</v>
      </c>
      <c r="AF6" s="1" t="str">
        <f>IF(原本!AE7="","",原本!AE7)</f>
        <v>kikuta@hop-miyagi.org</v>
      </c>
      <c r="AG6" s="1" t="str">
        <f>IF(原本!AF7="","",原本!AF7)</f>
        <v/>
      </c>
      <c r="AH6" s="7">
        <f>IF(原本!AG7="","",原本!AG7)</f>
        <v>247500</v>
      </c>
      <c r="AI6" s="1" t="str">
        <f>IF(原本!AH7="","",原本!AH7)</f>
        <v>02_（別紙1）所要額調書_【ここに法人名を記載してください】.xlsx(90KB)</v>
      </c>
      <c r="AJ6" s="1" t="str">
        <f>IF(原本!AI7="","",原本!AI7)</f>
        <v>一括申請予定なし</v>
      </c>
      <c r="AK6" s="1" t="str">
        <f>IF(原本!AJ7="","",原本!AJ7)</f>
        <v/>
      </c>
      <c r="AL6" s="1" t="str">
        <f>IF(原本!AK7="","",原本!AK7)</f>
        <v/>
      </c>
      <c r="AM6" s="1" t="str">
        <f>IF(原本!AL7="","",原本!AL7)</f>
        <v/>
      </c>
      <c r="AN6" s="1" t="str">
        <f>IF(原本!AM7="","",原本!AM7)</f>
        <v/>
      </c>
      <c r="AO6" s="7" t="str">
        <f>IF(原本!AN7="","",原本!AN7)</f>
        <v/>
      </c>
      <c r="AP6" s="1" t="str">
        <f>IF(原本!AO7="","",原本!AO7)</f>
        <v/>
      </c>
      <c r="AQ6" s="1" t="str">
        <f>IF(原本!AP7="","",原本!AP7)</f>
        <v/>
      </c>
      <c r="AR6" s="1" t="str">
        <f>IF(原本!AQ7="","",原本!AQ7)</f>
        <v/>
      </c>
      <c r="AS6" s="7" t="str">
        <f>IF(原本!AR7="","",原本!AR7)</f>
        <v/>
      </c>
      <c r="AT6" s="1" t="str">
        <f>IF(原本!AS7="","",原本!AS7)</f>
        <v/>
      </c>
      <c r="AU6" s="1" t="str">
        <f>IF(原本!AT7="","",原本!AT7)</f>
        <v/>
      </c>
      <c r="AV6" s="1" t="str">
        <f>IF(原本!AU7="","",原本!AU7)</f>
        <v/>
      </c>
      <c r="AW6" s="7" t="str">
        <f>IF(原本!AV7="","",原本!AV7)</f>
        <v/>
      </c>
      <c r="AX6" s="1" t="str">
        <f>IF(原本!AW7="","",原本!AW7)</f>
        <v/>
      </c>
      <c r="AY6" s="1" t="str">
        <f>IF(原本!AX7="","",原本!AX7)</f>
        <v/>
      </c>
      <c r="AZ6" s="1" t="str">
        <f>IF(原本!AY7="","",原本!AY7)</f>
        <v/>
      </c>
      <c r="BA6" s="7" t="str">
        <f>IF(原本!AZ7="","",原本!AZ7)</f>
        <v/>
      </c>
      <c r="BB6" s="1" t="str">
        <f>IF(原本!BA7="","",原本!BA7)</f>
        <v/>
      </c>
      <c r="BC6" s="1" t="str">
        <f>IF(原本!BB7="","",原本!BB7)</f>
        <v/>
      </c>
      <c r="BD6" s="1" t="str">
        <f>IF(原本!BC7="","",原本!BC7)</f>
        <v/>
      </c>
      <c r="BE6" s="7" t="str">
        <f>IF(原本!BD7="","",原本!BD7)</f>
        <v/>
      </c>
      <c r="BF6" s="1" t="str">
        <f>IF(原本!BE7="","",原本!BE7)</f>
        <v/>
      </c>
      <c r="BG6" s="1" t="str">
        <f>IF(原本!BF7="","",原本!BF7)</f>
        <v/>
      </c>
      <c r="BH6" s="1" t="str">
        <f>IF(原本!BG7="","",原本!BG7)</f>
        <v/>
      </c>
      <c r="BI6" s="7" t="str">
        <f>IF(原本!BH7="","",原本!BH7)</f>
        <v/>
      </c>
      <c r="BJ6" s="1" t="str">
        <f>IF(原本!BI7="","",原本!BI7)</f>
        <v/>
      </c>
      <c r="BK6" s="1" t="str">
        <f>IF(原本!BJ7="","",原本!BJ7)</f>
        <v/>
      </c>
      <c r="BL6" s="1" t="str">
        <f>IF(原本!BK7="","",原本!BK7)</f>
        <v/>
      </c>
      <c r="BM6" s="7" t="str">
        <f>IF(原本!BL7="","",原本!BL7)</f>
        <v/>
      </c>
      <c r="BN6" s="1" t="str">
        <f>IF(原本!BM7="","",原本!BM7)</f>
        <v/>
      </c>
      <c r="BO6" s="1" t="str">
        <f>IF(原本!BN7="","",原本!BN7)</f>
        <v>2021/12/27 20:49:56 申し込み_x000D_
2021/12/27 20:51:03 「生産活動拡大支援事業　所要額調書」をアップロードしてください 添付ファイル 02_（別紙1）所要額調書_【ここに法人名を記載してください】.xlsx 無害化_x000D_
2021/12/28 08:32:40  受付完了(参加団体-仙台市-健康福祉局障害福祉部障害企画課社会参加係 審査者　１)</v>
      </c>
      <c r="BP6" s="7">
        <f>IFERROR(INDEX($BT$3:$BU$8,MATCH(テーブル1[[#This Row],[一括申請事業所数]],$BT$3:$BT$8,0),2),1)</f>
        <v>1</v>
      </c>
      <c r="BQ6" s="7">
        <v>247000</v>
      </c>
      <c r="BR6" s="7">
        <f>SUM(167948,57960,47500)</f>
        <v>273408</v>
      </c>
      <c r="BT6" s="1" t="s">
        <v>156</v>
      </c>
      <c r="BU6" s="1">
        <v>6</v>
      </c>
    </row>
    <row r="7" spans="2:73" ht="24" customHeight="1">
      <c r="B7" s="1">
        <f>IF(原本!A8="","",原本!A8)</f>
        <v>6</v>
      </c>
      <c r="C7" s="1" t="str">
        <f>IF(原本!B8="","",原本!B8)</f>
        <v>164_065_249_9042</v>
      </c>
      <c r="D7" s="2">
        <f>IF(原本!C8="","",原本!C8)</f>
        <v>44558.408333333333</v>
      </c>
      <c r="E7" s="1" t="str">
        <f>IF(原本!D8="","",原本!D8)</f>
        <v>受付済み</v>
      </c>
      <c r="F7" s="1" t="str">
        <f>IF(原本!E8="","",原本!E8)</f>
        <v>一般</v>
      </c>
      <c r="G7" s="1" t="str">
        <f>IF(原本!F8="","",原本!F8)</f>
        <v/>
      </c>
      <c r="H7" s="3">
        <f>IF(原本!G8="","",原本!G8)</f>
        <v>44558</v>
      </c>
      <c r="I7" s="1" t="str">
        <f>IF(原本!H8="","",原本!H8)</f>
        <v>社会福祉法人みんなの広場</v>
      </c>
      <c r="J7" s="1" t="str">
        <f>IF(原本!I8="","",原本!I8)</f>
        <v/>
      </c>
      <c r="K7" s="1" t="str">
        <f>IF(原本!J8="","",原本!J8)</f>
        <v/>
      </c>
      <c r="L7" s="1" t="str">
        <f>IF(原本!K8="","",原本!K8)</f>
        <v/>
      </c>
      <c r="M7" s="1" t="str">
        <f>IF(原本!L8="","",原本!L8)</f>
        <v>黒澤　尚樹</v>
      </c>
      <c r="N7" s="1" t="str">
        <f>IF(原本!M8="","",原本!M8)</f>
        <v/>
      </c>
      <c r="O7" s="1" t="str">
        <f>IF(原本!N8="","",原本!N8)</f>
        <v/>
      </c>
      <c r="P7" s="1" t="str">
        <f>IF(原本!O8="","",原本!O8)</f>
        <v/>
      </c>
      <c r="Q7" s="1" t="str">
        <f>IF(原本!P8="","",原本!P8)</f>
        <v/>
      </c>
      <c r="R7" s="1" t="str">
        <f>IF(原本!Q8="","",原本!Q8)</f>
        <v/>
      </c>
      <c r="S7" s="1" t="str">
        <f>IF(原本!R8="","",原本!R8)</f>
        <v>022-275-2101</v>
      </c>
      <c r="T7" s="1" t="str">
        <f>IF(原本!S8="","",原本!S8)</f>
        <v/>
      </c>
      <c r="U7" s="1" t="str">
        <f>IF(原本!T8="","",原本!T8)</f>
        <v/>
      </c>
      <c r="V7" s="1" t="str">
        <f>IF(原本!U8="","",原本!U8)</f>
        <v/>
      </c>
      <c r="W7" s="1" t="str">
        <f>IF(原本!V8="","",原本!V8)</f>
        <v>kimachi_kurosawa@msn.com</v>
      </c>
      <c r="X7" s="1" t="str">
        <f>IF(原本!W8="","",原本!W8)</f>
        <v>hiroba2002yokoya@live.jp</v>
      </c>
      <c r="Y7" s="1">
        <f>IF(原本!X8="","",原本!X8)</f>
        <v>44558</v>
      </c>
      <c r="Z7" s="1" t="str">
        <f>IF(原本!Y8="","",原本!Y8)</f>
        <v>社会福祉法人みんなの広場</v>
      </c>
      <c r="AA7" s="1" t="str">
        <f>IF(原本!Z8="","",原本!Z8)</f>
        <v>みんなの広場（工房きまち）</v>
      </c>
      <c r="AB7" s="1">
        <f>IF(原本!AA8="","",原本!AA8)</f>
        <v>415102631</v>
      </c>
      <c r="AC7" s="1" t="str">
        <f>IF(原本!AB8="","",原本!AB8)</f>
        <v>就労継続支援B型</v>
      </c>
      <c r="AD7" s="1" t="str">
        <f>IF(原本!AC8="","",原本!AC8)</f>
        <v>黒澤　尚樹</v>
      </c>
      <c r="AE7" s="1" t="str">
        <f>IF(原本!AD8="","",原本!AD8)</f>
        <v>022-275-2101</v>
      </c>
      <c r="AF7" s="1" t="str">
        <f>IF(原本!AE8="","",原本!AE8)</f>
        <v>kimachi_kurosawa@msn.com</v>
      </c>
      <c r="AG7" s="1" t="str">
        <f>IF(原本!AF8="","",原本!AF8)</f>
        <v>hiroba2002yokoya@live.jp</v>
      </c>
      <c r="AH7" s="7">
        <f>IF(原本!AG8="","",原本!AG8)</f>
        <v>280000</v>
      </c>
      <c r="AI7" s="1" t="str">
        <f>IF(原本!AH8="","",原本!AH8)</f>
        <v>（別紙1）所要額調書_【社会福祉法人みんなの広場　工房きまち】.xlsx(89KB)</v>
      </c>
      <c r="AJ7" s="1" t="str">
        <f>IF(原本!AI8="","",原本!AI8)</f>
        <v>一括申請予定なし</v>
      </c>
      <c r="AK7" s="1" t="str">
        <f>IF(原本!AJ8="","",原本!AJ8)</f>
        <v/>
      </c>
      <c r="AL7" s="1" t="str">
        <f>IF(原本!AK8="","",原本!AK8)</f>
        <v/>
      </c>
      <c r="AM7" s="1" t="str">
        <f>IF(原本!AL8="","",原本!AL8)</f>
        <v/>
      </c>
      <c r="AN7" s="1" t="str">
        <f>IF(原本!AM8="","",原本!AM8)</f>
        <v/>
      </c>
      <c r="AO7" s="7" t="str">
        <f>IF(原本!AN8="","",原本!AN8)</f>
        <v/>
      </c>
      <c r="AP7" s="1" t="str">
        <f>IF(原本!AO8="","",原本!AO8)</f>
        <v/>
      </c>
      <c r="AQ7" s="1" t="str">
        <f>IF(原本!AP8="","",原本!AP8)</f>
        <v/>
      </c>
      <c r="AR7" s="1" t="str">
        <f>IF(原本!AQ8="","",原本!AQ8)</f>
        <v/>
      </c>
      <c r="AS7" s="7" t="str">
        <f>IF(原本!AR8="","",原本!AR8)</f>
        <v/>
      </c>
      <c r="AT7" s="1" t="str">
        <f>IF(原本!AS8="","",原本!AS8)</f>
        <v/>
      </c>
      <c r="AU7" s="1" t="str">
        <f>IF(原本!AT8="","",原本!AT8)</f>
        <v/>
      </c>
      <c r="AV7" s="1" t="str">
        <f>IF(原本!AU8="","",原本!AU8)</f>
        <v/>
      </c>
      <c r="AW7" s="7" t="str">
        <f>IF(原本!AV8="","",原本!AV8)</f>
        <v/>
      </c>
      <c r="AX7" s="1" t="str">
        <f>IF(原本!AW8="","",原本!AW8)</f>
        <v/>
      </c>
      <c r="AY7" s="1" t="str">
        <f>IF(原本!AX8="","",原本!AX8)</f>
        <v/>
      </c>
      <c r="AZ7" s="1" t="str">
        <f>IF(原本!AY8="","",原本!AY8)</f>
        <v/>
      </c>
      <c r="BA7" s="7" t="str">
        <f>IF(原本!AZ8="","",原本!AZ8)</f>
        <v/>
      </c>
      <c r="BB7" s="1" t="str">
        <f>IF(原本!BA8="","",原本!BA8)</f>
        <v/>
      </c>
      <c r="BC7" s="1" t="str">
        <f>IF(原本!BB8="","",原本!BB8)</f>
        <v/>
      </c>
      <c r="BD7" s="1" t="str">
        <f>IF(原本!BC8="","",原本!BC8)</f>
        <v/>
      </c>
      <c r="BE7" s="7" t="str">
        <f>IF(原本!BD8="","",原本!BD8)</f>
        <v/>
      </c>
      <c r="BF7" s="1" t="str">
        <f>IF(原本!BE8="","",原本!BE8)</f>
        <v/>
      </c>
      <c r="BG7" s="1" t="str">
        <f>IF(原本!BF8="","",原本!BF8)</f>
        <v/>
      </c>
      <c r="BH7" s="1" t="str">
        <f>IF(原本!BG8="","",原本!BG8)</f>
        <v/>
      </c>
      <c r="BI7" s="7" t="str">
        <f>IF(原本!BH8="","",原本!BH8)</f>
        <v/>
      </c>
      <c r="BJ7" s="1" t="str">
        <f>IF(原本!BI8="","",原本!BI8)</f>
        <v/>
      </c>
      <c r="BK7" s="1" t="str">
        <f>IF(原本!BJ8="","",原本!BJ8)</f>
        <v/>
      </c>
      <c r="BL7" s="1" t="str">
        <f>IF(原本!BK8="","",原本!BK8)</f>
        <v/>
      </c>
      <c r="BM7" s="7" t="str">
        <f>IF(原本!BL8="","",原本!BL8)</f>
        <v/>
      </c>
      <c r="BN7" s="1" t="str">
        <f>IF(原本!BM8="","",原本!BM8)</f>
        <v/>
      </c>
      <c r="BO7" s="1" t="str">
        <f>IF(原本!BN8="","",原本!BN8)</f>
        <v>2021/12/28 09:48:19 申し込み_x000D_
2021/12/28 09:51:03 「生産活動拡大支援事業　所要額調書」をアップロードしてください 添付ファイル （別紙1）所要額調書_【社会福祉法人みんなの広場　工房きまち】.xlsx 無害化_x000D_
2021/12/28 10:07:03  受付完了(参加団体-仙台市-健康福祉局障害福祉部障害企画課社会参加係 審査者　１)</v>
      </c>
      <c r="BP7" s="7">
        <f>IFERROR(INDEX($BT$3:$BU$8,MATCH(テーブル1[[#This Row],[一括申請事業所数]],$BT$3:$BT$8,0),2),1)</f>
        <v>1</v>
      </c>
      <c r="BQ7" s="7">
        <f t="shared" si="1"/>
        <v>280000</v>
      </c>
      <c r="BR7" s="7">
        <f>SUM(19000,40000,91000,20000,10000,50000,50000)</f>
        <v>280000</v>
      </c>
      <c r="BT7" s="1" t="s">
        <v>157</v>
      </c>
      <c r="BU7" s="1">
        <v>7</v>
      </c>
    </row>
    <row r="8" spans="2:73" ht="24" customHeight="1">
      <c r="B8" s="1">
        <f>IF(原本!A9="","",原本!A9)</f>
        <v>7</v>
      </c>
      <c r="C8" s="1" t="str">
        <f>IF(原本!B9="","",原本!B9)</f>
        <v>164_066_461_9039</v>
      </c>
      <c r="D8" s="2">
        <f>IF(原本!C9="","",原本!C9)</f>
        <v>44558.548611111109</v>
      </c>
      <c r="E8" s="1" t="str">
        <f>IF(原本!D9="","",原本!D9)</f>
        <v>受付済み</v>
      </c>
      <c r="F8" s="1" t="str">
        <f>IF(原本!E9="","",原本!E9)</f>
        <v>一般</v>
      </c>
      <c r="G8" s="1" t="str">
        <f>IF(原本!F9="","",原本!F9)</f>
        <v/>
      </c>
      <c r="H8" s="3">
        <f>IF(原本!G9="","",原本!G9)</f>
        <v>44558</v>
      </c>
      <c r="I8" s="1" t="str">
        <f>IF(原本!H9="","",原本!H9)</f>
        <v>社会福祉法人なのはな会</v>
      </c>
      <c r="J8" s="1" t="str">
        <f>IF(原本!I9="","",原本!I9)</f>
        <v/>
      </c>
      <c r="K8" s="1" t="str">
        <f>IF(原本!J9="","",原本!J9)</f>
        <v/>
      </c>
      <c r="L8" s="1" t="str">
        <f>IF(原本!K9="","",原本!K9)</f>
        <v/>
      </c>
      <c r="M8" s="1" t="str">
        <f>IF(原本!L9="","",原本!L9)</f>
        <v>事務　只野福恵</v>
      </c>
      <c r="N8" s="1" t="str">
        <f>IF(原本!M9="","",原本!M9)</f>
        <v/>
      </c>
      <c r="O8" s="1" t="str">
        <f>IF(原本!N9="","",原本!N9)</f>
        <v/>
      </c>
      <c r="P8" s="1" t="str">
        <f>IF(原本!O9="","",原本!O9)</f>
        <v/>
      </c>
      <c r="Q8" s="1" t="str">
        <f>IF(原本!P9="","",原本!P9)</f>
        <v/>
      </c>
      <c r="R8" s="1" t="str">
        <f>IF(原本!Q9="","",原本!Q9)</f>
        <v/>
      </c>
      <c r="S8" s="1" t="str">
        <f>IF(原本!R9="","",原本!R9)</f>
        <v>022-727-2345</v>
      </c>
      <c r="T8" s="1" t="str">
        <f>IF(原本!S9="","",原本!S9)</f>
        <v/>
      </c>
      <c r="U8" s="1" t="str">
        <f>IF(原本!T9="","",原本!T9)</f>
        <v/>
      </c>
      <c r="V8" s="1" t="str">
        <f>IF(原本!U9="","",原本!U9)</f>
        <v/>
      </c>
      <c r="W8" s="1" t="str">
        <f>IF(原本!V9="","",原本!V9)</f>
        <v>hama-yuu@nifty.com</v>
      </c>
      <c r="X8" s="1" t="str">
        <f>IF(原本!W9="","",原本!W9)</f>
        <v/>
      </c>
      <c r="Y8" s="1">
        <f>IF(原本!X9="","",原本!X9)</f>
        <v>44558</v>
      </c>
      <c r="Z8" s="1" t="str">
        <f>IF(原本!Y9="","",原本!Y9)</f>
        <v>社会福祉法人なのはな会</v>
      </c>
      <c r="AA8" s="1" t="str">
        <f>IF(原本!Z9="","",原本!Z9)</f>
        <v>はまゆう</v>
      </c>
      <c r="AB8" s="1">
        <f>IF(原本!AA9="","",原本!AA9)</f>
        <v>415100817</v>
      </c>
      <c r="AC8" s="1" t="str">
        <f>IF(原本!AB9="","",原本!AB9)</f>
        <v>就労継続支援B型</v>
      </c>
      <c r="AD8" s="1" t="str">
        <f>IF(原本!AC9="","",原本!AC9)</f>
        <v>事務　只野福恵</v>
      </c>
      <c r="AE8" s="1" t="str">
        <f>IF(原本!AD9="","",原本!AD9)</f>
        <v>022-727-2345</v>
      </c>
      <c r="AF8" s="1" t="str">
        <f>IF(原本!AE9="","",原本!AE9)</f>
        <v>hama-yuu@nifty.com</v>
      </c>
      <c r="AG8" s="1" t="str">
        <f>IF(原本!AF9="","",原本!AF9)</f>
        <v/>
      </c>
      <c r="AH8" s="7">
        <f>IF(原本!AG9="","",原本!AG9)</f>
        <v>50000</v>
      </c>
      <c r="AI8" s="1" t="str">
        <f>IF(原本!AH9="","",原本!AH9)</f>
        <v>02_（別紙1）所要額調書_【なのはな会はまゆう.xlsx(90KB)</v>
      </c>
      <c r="AJ8" s="1" t="str">
        <f>IF(原本!AI9="","",原本!AI9)</f>
        <v>一括申請予定なし</v>
      </c>
      <c r="AK8" s="1" t="str">
        <f>IF(原本!AJ9="","",原本!AJ9)</f>
        <v/>
      </c>
      <c r="AL8" s="1" t="str">
        <f>IF(原本!AK9="","",原本!AK9)</f>
        <v/>
      </c>
      <c r="AM8" s="1" t="str">
        <f>IF(原本!AL9="","",原本!AL9)</f>
        <v/>
      </c>
      <c r="AN8" s="1" t="str">
        <f>IF(原本!AM9="","",原本!AM9)</f>
        <v/>
      </c>
      <c r="AO8" s="7" t="str">
        <f>IF(原本!AN9="","",原本!AN9)</f>
        <v/>
      </c>
      <c r="AP8" s="1" t="str">
        <f>IF(原本!AO9="","",原本!AO9)</f>
        <v/>
      </c>
      <c r="AQ8" s="1" t="str">
        <f>IF(原本!AP9="","",原本!AP9)</f>
        <v/>
      </c>
      <c r="AR8" s="1" t="str">
        <f>IF(原本!AQ9="","",原本!AQ9)</f>
        <v/>
      </c>
      <c r="AS8" s="7" t="str">
        <f>IF(原本!AR9="","",原本!AR9)</f>
        <v/>
      </c>
      <c r="AT8" s="1" t="str">
        <f>IF(原本!AS9="","",原本!AS9)</f>
        <v/>
      </c>
      <c r="AU8" s="1" t="str">
        <f>IF(原本!AT9="","",原本!AT9)</f>
        <v/>
      </c>
      <c r="AV8" s="1" t="str">
        <f>IF(原本!AU9="","",原本!AU9)</f>
        <v/>
      </c>
      <c r="AW8" s="7" t="str">
        <f>IF(原本!AV9="","",原本!AV9)</f>
        <v/>
      </c>
      <c r="AX8" s="1" t="str">
        <f>IF(原本!AW9="","",原本!AW9)</f>
        <v/>
      </c>
      <c r="AY8" s="1" t="str">
        <f>IF(原本!AX9="","",原本!AX9)</f>
        <v/>
      </c>
      <c r="AZ8" s="1" t="str">
        <f>IF(原本!AY9="","",原本!AY9)</f>
        <v/>
      </c>
      <c r="BA8" s="7" t="str">
        <f>IF(原本!AZ9="","",原本!AZ9)</f>
        <v/>
      </c>
      <c r="BB8" s="1" t="str">
        <f>IF(原本!BA9="","",原本!BA9)</f>
        <v/>
      </c>
      <c r="BC8" s="1" t="str">
        <f>IF(原本!BB9="","",原本!BB9)</f>
        <v/>
      </c>
      <c r="BD8" s="1" t="str">
        <f>IF(原本!BC9="","",原本!BC9)</f>
        <v/>
      </c>
      <c r="BE8" s="7" t="str">
        <f>IF(原本!BD9="","",原本!BD9)</f>
        <v/>
      </c>
      <c r="BF8" s="1" t="str">
        <f>IF(原本!BE9="","",原本!BE9)</f>
        <v/>
      </c>
      <c r="BG8" s="1" t="str">
        <f>IF(原本!BF9="","",原本!BF9)</f>
        <v/>
      </c>
      <c r="BH8" s="1" t="str">
        <f>IF(原本!BG9="","",原本!BG9)</f>
        <v/>
      </c>
      <c r="BI8" s="7" t="str">
        <f>IF(原本!BH9="","",原本!BH9)</f>
        <v/>
      </c>
      <c r="BJ8" s="1" t="str">
        <f>IF(原本!BI9="","",原本!BI9)</f>
        <v/>
      </c>
      <c r="BK8" s="1" t="str">
        <f>IF(原本!BJ9="","",原本!BJ9)</f>
        <v/>
      </c>
      <c r="BL8" s="1" t="str">
        <f>IF(原本!BK9="","",原本!BK9)</f>
        <v/>
      </c>
      <c r="BM8" s="7" t="str">
        <f>IF(原本!BL9="","",原本!BL9)</f>
        <v/>
      </c>
      <c r="BN8" s="1" t="str">
        <f>IF(原本!BM9="","",原本!BM9)</f>
        <v/>
      </c>
      <c r="BO8" s="1" t="str">
        <f>IF(原本!BN9="","",原本!BN9)</f>
        <v>2021/12/28 13:10:19 申し込み_x000D_
2021/12/28 13:13:19 「生産活動拡大支援事業　所要額調書」をアップロードしてください 添付ファイル 02_（別紙1）所要額調書_【なのはな会はまゆう.xlsx 無害化_x000D_
2021/12/28 13:39:51  受付完了(参加団体-仙台市-健康福祉局障害福祉部障害企画課社会参加係 審査者　１)</v>
      </c>
      <c r="BP8" s="7">
        <f>IFERROR(INDEX($BT$3:$BU$8,MATCH(テーブル1[[#This Row],[一括申請事業所数]],$BT$3:$BT$8,0),2),1)</f>
        <v>1</v>
      </c>
      <c r="BQ8" s="7">
        <f t="shared" si="1"/>
        <v>50000</v>
      </c>
      <c r="BR8" s="7">
        <f>SUM(53350,60952)</f>
        <v>114302</v>
      </c>
      <c r="BT8" s="1" t="s">
        <v>158</v>
      </c>
      <c r="BU8" s="1">
        <v>8</v>
      </c>
    </row>
    <row r="9" spans="2:73" ht="24" customHeight="1">
      <c r="B9" s="1">
        <f>IF(原本!A10="","",原本!A10)</f>
        <v>8</v>
      </c>
      <c r="C9" s="1" t="str">
        <f>IF(原本!B10="","",原本!B10)</f>
        <v>164_066_700_4290</v>
      </c>
      <c r="D9" s="2">
        <f>IF(原本!C10="","",原本!C10)</f>
        <v>44558.576388888891</v>
      </c>
      <c r="E9" s="1" t="str">
        <f>IF(原本!D10="","",原本!D10)</f>
        <v>受付済み</v>
      </c>
      <c r="F9" s="1" t="str">
        <f>IF(原本!E10="","",原本!E10)</f>
        <v>一般</v>
      </c>
      <c r="G9" s="1" t="str">
        <f>IF(原本!F10="","",原本!F10)</f>
        <v/>
      </c>
      <c r="H9" s="3">
        <f>IF(原本!G10="","",原本!G10)</f>
        <v>44558</v>
      </c>
      <c r="I9" s="1" t="str">
        <f>IF(原本!H10="","",原本!H10)</f>
        <v>株式会社MAYURA</v>
      </c>
      <c r="J9" s="1" t="str">
        <f>IF(原本!I10="","",原本!I10)</f>
        <v/>
      </c>
      <c r="K9" s="1" t="str">
        <f>IF(原本!J10="","",原本!J10)</f>
        <v/>
      </c>
      <c r="L9" s="1" t="str">
        <f>IF(原本!K10="","",原本!K10)</f>
        <v/>
      </c>
      <c r="M9" s="1" t="str">
        <f>IF(原本!L10="","",原本!L10)</f>
        <v>千葉　真由美</v>
      </c>
      <c r="N9" s="1" t="str">
        <f>IF(原本!M10="","",原本!M10)</f>
        <v/>
      </c>
      <c r="O9" s="1" t="str">
        <f>IF(原本!N10="","",原本!N10)</f>
        <v/>
      </c>
      <c r="P9" s="1" t="str">
        <f>IF(原本!O10="","",原本!O10)</f>
        <v/>
      </c>
      <c r="Q9" s="1" t="str">
        <f>IF(原本!P10="","",原本!P10)</f>
        <v/>
      </c>
      <c r="R9" s="1" t="str">
        <f>IF(原本!Q10="","",原本!Q10)</f>
        <v/>
      </c>
      <c r="S9" s="1" t="str">
        <f>IF(原本!R10="","",原本!R10)</f>
        <v>090-2667-7789</v>
      </c>
      <c r="T9" s="1" t="str">
        <f>IF(原本!S10="","",原本!S10)</f>
        <v/>
      </c>
      <c r="U9" s="1" t="str">
        <f>IF(原本!T10="","",原本!T10)</f>
        <v/>
      </c>
      <c r="V9" s="1" t="str">
        <f>IF(原本!U10="","",原本!U10)</f>
        <v/>
      </c>
      <c r="W9" s="1" t="str">
        <f>IF(原本!V10="","",原本!V10)</f>
        <v>mayumi@mayura-partner.jp</v>
      </c>
      <c r="X9" s="1" t="str">
        <f>IF(原本!W10="","",原本!W10)</f>
        <v/>
      </c>
      <c r="Y9" s="1">
        <f>IF(原本!X10="","",原本!X10)</f>
        <v>44558</v>
      </c>
      <c r="Z9" s="1" t="str">
        <f>IF(原本!Y10="","",原本!Y10)</f>
        <v>株式会社MAYURA</v>
      </c>
      <c r="AA9" s="1" t="str">
        <f>IF(原本!Z10="","",原本!Z10)</f>
        <v>Ma rue</v>
      </c>
      <c r="AB9" s="1">
        <f>IF(原本!AA10="","",原本!AA10)</f>
        <v>415101682</v>
      </c>
      <c r="AC9" s="1" t="str">
        <f>IF(原本!AB10="","",原本!AB10)</f>
        <v>就労継続支援A型</v>
      </c>
      <c r="AD9" s="1" t="str">
        <f>IF(原本!AC10="","",原本!AC10)</f>
        <v>千葉　真由美</v>
      </c>
      <c r="AE9" s="1" t="str">
        <f>IF(原本!AD10="","",原本!AD10)</f>
        <v>090-2667-7789</v>
      </c>
      <c r="AF9" s="1" t="str">
        <f>IF(原本!AE10="","",原本!AE10)</f>
        <v>mayumi@mayura-partner.jp</v>
      </c>
      <c r="AG9" s="1" t="str">
        <f>IF(原本!AF10="","",原本!AF10)</f>
        <v/>
      </c>
      <c r="AH9" s="7">
        <f>IF(原本!AG10="","",原本!AG10)</f>
        <v>300000</v>
      </c>
      <c r="AI9" s="1" t="str">
        <f>IF(原本!AH10="","",原本!AH10)</f>
        <v>02_（別紙1）所要額調書_【株式会社MAYURA】.xlsx(101KB)</v>
      </c>
      <c r="AJ9" s="1" t="str">
        <f>IF(原本!AI10="","",原本!AI10)</f>
        <v>一括申請予定なし</v>
      </c>
      <c r="AK9" s="1" t="str">
        <f>IF(原本!AJ10="","",原本!AJ10)</f>
        <v/>
      </c>
      <c r="AL9" s="1" t="str">
        <f>IF(原本!AK10="","",原本!AK10)</f>
        <v/>
      </c>
      <c r="AM9" s="1" t="str">
        <f>IF(原本!AL10="","",原本!AL10)</f>
        <v/>
      </c>
      <c r="AN9" s="1" t="str">
        <f>IF(原本!AM10="","",原本!AM10)</f>
        <v/>
      </c>
      <c r="AO9" s="7" t="str">
        <f>IF(原本!AN10="","",原本!AN10)</f>
        <v/>
      </c>
      <c r="AP9" s="1" t="str">
        <f>IF(原本!AO10="","",原本!AO10)</f>
        <v/>
      </c>
      <c r="AQ9" s="1" t="str">
        <f>IF(原本!AP10="","",原本!AP10)</f>
        <v/>
      </c>
      <c r="AR9" s="1" t="str">
        <f>IF(原本!AQ10="","",原本!AQ10)</f>
        <v/>
      </c>
      <c r="AS9" s="7" t="str">
        <f>IF(原本!AR10="","",原本!AR10)</f>
        <v/>
      </c>
      <c r="AT9" s="1" t="str">
        <f>IF(原本!AS10="","",原本!AS10)</f>
        <v/>
      </c>
      <c r="AU9" s="1" t="str">
        <f>IF(原本!AT10="","",原本!AT10)</f>
        <v/>
      </c>
      <c r="AV9" s="1" t="str">
        <f>IF(原本!AU10="","",原本!AU10)</f>
        <v/>
      </c>
      <c r="AW9" s="7" t="str">
        <f>IF(原本!AV10="","",原本!AV10)</f>
        <v/>
      </c>
      <c r="AX9" s="1" t="str">
        <f>IF(原本!AW10="","",原本!AW10)</f>
        <v/>
      </c>
      <c r="AY9" s="1" t="str">
        <f>IF(原本!AX10="","",原本!AX10)</f>
        <v/>
      </c>
      <c r="AZ9" s="1" t="str">
        <f>IF(原本!AY10="","",原本!AY10)</f>
        <v/>
      </c>
      <c r="BA9" s="7" t="str">
        <f>IF(原本!AZ10="","",原本!AZ10)</f>
        <v/>
      </c>
      <c r="BB9" s="1" t="str">
        <f>IF(原本!BA10="","",原本!BA10)</f>
        <v/>
      </c>
      <c r="BC9" s="1" t="str">
        <f>IF(原本!BB10="","",原本!BB10)</f>
        <v/>
      </c>
      <c r="BD9" s="1" t="str">
        <f>IF(原本!BC10="","",原本!BC10)</f>
        <v/>
      </c>
      <c r="BE9" s="7" t="str">
        <f>IF(原本!BD10="","",原本!BD10)</f>
        <v/>
      </c>
      <c r="BF9" s="1" t="str">
        <f>IF(原本!BE10="","",原本!BE10)</f>
        <v/>
      </c>
      <c r="BG9" s="1" t="str">
        <f>IF(原本!BF10="","",原本!BF10)</f>
        <v/>
      </c>
      <c r="BH9" s="1" t="str">
        <f>IF(原本!BG10="","",原本!BG10)</f>
        <v/>
      </c>
      <c r="BI9" s="7" t="str">
        <f>IF(原本!BH10="","",原本!BH10)</f>
        <v/>
      </c>
      <c r="BJ9" s="1" t="str">
        <f>IF(原本!BI10="","",原本!BI10)</f>
        <v/>
      </c>
      <c r="BK9" s="1" t="str">
        <f>IF(原本!BJ10="","",原本!BJ10)</f>
        <v/>
      </c>
      <c r="BL9" s="1" t="str">
        <f>IF(原本!BK10="","",原本!BK10)</f>
        <v/>
      </c>
      <c r="BM9" s="7" t="str">
        <f>IF(原本!BL10="","",原本!BL10)</f>
        <v/>
      </c>
      <c r="BN9" s="1" t="str">
        <f>IF(原本!BM10="","",原本!BM10)</f>
        <v/>
      </c>
      <c r="BO9" s="1" t="str">
        <f>IF(原本!BN10="","",原本!BN10)</f>
        <v>2021/12/28 13:50:04 申し込み_x000D_
2021/12/28 13:53:14 「生産活動拡大支援事業　所要額調書」をアップロードしてください 添付ファイル 02_（別紙1）所要額調書_【株式会社MAYURA】.xlsx 無害化_x000D_
2021/12/28 15:02:25  受付完了(参加団体-仙台市-健康福祉局障害福祉部障害企画課社会参加係 審査者　１)</v>
      </c>
      <c r="BP9" s="7">
        <f>IFERROR(INDEX($BT$3:$BU$8,MATCH(テーブル1[[#This Row],[一括申請事業所数]],$BT$3:$BT$8,0),2),1)</f>
        <v>1</v>
      </c>
      <c r="BQ9" s="7">
        <f t="shared" si="1"/>
        <v>300000</v>
      </c>
      <c r="BR9" s="7">
        <f>SUM(5000,150000,20000,30000,50000)</f>
        <v>255000</v>
      </c>
    </row>
    <row r="10" spans="2:73" ht="24" customHeight="1">
      <c r="B10" s="1">
        <f>IF(原本!A11="","",原本!A11)</f>
        <v>9</v>
      </c>
      <c r="C10" s="1" t="str">
        <f>IF(原本!B11="","",原本!B11)</f>
        <v>164_066_874_2081</v>
      </c>
      <c r="D10" s="2">
        <f>IF(原本!C11="","",原本!C11)</f>
        <v>44558.59652777778</v>
      </c>
      <c r="E10" s="1" t="str">
        <f>IF(原本!D11="","",原本!D11)</f>
        <v>受付済み</v>
      </c>
      <c r="F10" s="1" t="str">
        <f>IF(原本!E11="","",原本!E11)</f>
        <v>一般</v>
      </c>
      <c r="G10" s="1" t="str">
        <f>IF(原本!F11="","",原本!F11)</f>
        <v/>
      </c>
      <c r="H10" s="3">
        <f>IF(原本!G11="","",原本!G11)</f>
        <v>44558</v>
      </c>
      <c r="I10" s="1" t="str">
        <f>IF(原本!H11="","",原本!H11)</f>
        <v>特定非営利活動法人　博英舎・こころや</v>
      </c>
      <c r="J10" s="1" t="str">
        <f>IF(原本!I11="","",原本!I11)</f>
        <v/>
      </c>
      <c r="K10" s="1" t="str">
        <f>IF(原本!J11="","",原本!J11)</f>
        <v/>
      </c>
      <c r="L10" s="1" t="str">
        <f>IF(原本!K11="","",原本!K11)</f>
        <v/>
      </c>
      <c r="M10" s="1" t="str">
        <f>IF(原本!L11="","",原本!L11)</f>
        <v>山家　諭</v>
      </c>
      <c r="N10" s="1" t="str">
        <f>IF(原本!M11="","",原本!M11)</f>
        <v/>
      </c>
      <c r="O10" s="1" t="str">
        <f>IF(原本!N11="","",原本!N11)</f>
        <v/>
      </c>
      <c r="P10" s="1" t="str">
        <f>IF(原本!O11="","",原本!O11)</f>
        <v/>
      </c>
      <c r="Q10" s="1" t="str">
        <f>IF(原本!P11="","",原本!P11)</f>
        <v/>
      </c>
      <c r="R10" s="1" t="str">
        <f>IF(原本!Q11="","",原本!Q11)</f>
        <v/>
      </c>
      <c r="S10" s="1" t="str">
        <f>IF(原本!R11="","",原本!R11)</f>
        <v>022-728-8343</v>
      </c>
      <c r="T10" s="1" t="str">
        <f>IF(原本!S11="","",原本!S11)</f>
        <v/>
      </c>
      <c r="U10" s="1" t="str">
        <f>IF(原本!T11="","",原本!T11)</f>
        <v/>
      </c>
      <c r="V10" s="1" t="str">
        <f>IF(原本!U11="","",原本!U11)</f>
        <v/>
      </c>
      <c r="W10" s="1" t="str">
        <f>IF(原本!V11="","",原本!V11)</f>
        <v>kokoroya-3@if-n.ne.jp</v>
      </c>
      <c r="X10" s="1" t="str">
        <f>IF(原本!W11="","",原本!W11)</f>
        <v>kokoroya-3@if-n.ne.jp</v>
      </c>
      <c r="Y10" s="1">
        <f>IF(原本!X11="","",原本!X11)</f>
        <v>44558</v>
      </c>
      <c r="Z10" s="1" t="str">
        <f>IF(原本!Y11="","",原本!Y11)</f>
        <v>特定非営利活動法人　博英舎・こころや</v>
      </c>
      <c r="AA10" s="1" t="str">
        <f>IF(原本!Z11="","",原本!Z11)</f>
        <v>こころや</v>
      </c>
      <c r="AB10" s="1">
        <f>IF(原本!AA11="","",原本!AA11)</f>
        <v>415101179</v>
      </c>
      <c r="AC10" s="1" t="str">
        <f>IF(原本!AB11="","",原本!AB11)</f>
        <v>就労継続支援B型</v>
      </c>
      <c r="AD10" s="1" t="str">
        <f>IF(原本!AC11="","",原本!AC11)</f>
        <v>山家　諭</v>
      </c>
      <c r="AE10" s="1" t="str">
        <f>IF(原本!AD11="","",原本!AD11)</f>
        <v>022-728-8343</v>
      </c>
      <c r="AF10" s="1" t="str">
        <f>IF(原本!AE11="","",原本!AE11)</f>
        <v>kokoroya-3@if-n.ne.jp</v>
      </c>
      <c r="AG10" s="1" t="str">
        <f>IF(原本!AF11="","",原本!AF11)</f>
        <v>kokoroya-3@if-n.ne.jp</v>
      </c>
      <c r="AH10" s="7">
        <f>IF(原本!AG11="","",原本!AG11)</f>
        <v>200000</v>
      </c>
      <c r="AI10" s="1" t="str">
        <f>IF(原本!AH11="","",原本!AH11)</f>
        <v>02_（別紙1）所要額調書_【特定非営利活動法人 博英舎・こころや】.xlsx(89KB)</v>
      </c>
      <c r="AJ10" s="1" t="s">
        <v>169</v>
      </c>
      <c r="AK10" s="1" t="str">
        <f>IF(原本!AJ11="","",原本!AJ11)</f>
        <v/>
      </c>
      <c r="AO10" s="7" t="str">
        <f>IF(原本!AN11="","",原本!AN11)</f>
        <v/>
      </c>
      <c r="AP10" s="1" t="str">
        <f>IF(原本!AO11="","",原本!AO11)</f>
        <v/>
      </c>
      <c r="AQ10" s="1" t="str">
        <f>IF(原本!AP11="","",原本!AP11)</f>
        <v/>
      </c>
      <c r="AR10" s="1" t="str">
        <f>IF(原本!AQ11="","",原本!AQ11)</f>
        <v/>
      </c>
      <c r="AS10" s="7" t="str">
        <f>IF(原本!AR11="","",原本!AR11)</f>
        <v/>
      </c>
      <c r="AT10" s="1" t="str">
        <f>IF(原本!AS11="","",原本!AS11)</f>
        <v/>
      </c>
      <c r="AU10" s="1" t="str">
        <f>IF(原本!AT11="","",原本!AT11)</f>
        <v/>
      </c>
      <c r="AV10" s="1" t="str">
        <f>IF(原本!AU11="","",原本!AU11)</f>
        <v/>
      </c>
      <c r="AW10" s="7" t="str">
        <f>IF(原本!AV11="","",原本!AV11)</f>
        <v/>
      </c>
      <c r="AX10" s="1" t="str">
        <f>IF(原本!AW11="","",原本!AW11)</f>
        <v/>
      </c>
      <c r="AY10" s="1" t="str">
        <f>IF(原本!AX11="","",原本!AX11)</f>
        <v/>
      </c>
      <c r="AZ10" s="1" t="str">
        <f>IF(原本!AY11="","",原本!AY11)</f>
        <v/>
      </c>
      <c r="BA10" s="7" t="str">
        <f>IF(原本!AZ11="","",原本!AZ11)</f>
        <v/>
      </c>
      <c r="BB10" s="1" t="str">
        <f>IF(原本!BA11="","",原本!BA11)</f>
        <v/>
      </c>
      <c r="BC10" s="1" t="str">
        <f>IF(原本!BB11="","",原本!BB11)</f>
        <v/>
      </c>
      <c r="BD10" s="1" t="str">
        <f>IF(原本!BC11="","",原本!BC11)</f>
        <v/>
      </c>
      <c r="BE10" s="7" t="str">
        <f>IF(原本!BD11="","",原本!BD11)</f>
        <v/>
      </c>
      <c r="BF10" s="1" t="str">
        <f>IF(原本!BE11="","",原本!BE11)</f>
        <v/>
      </c>
      <c r="BG10" s="1" t="str">
        <f>IF(原本!BF11="","",原本!BF11)</f>
        <v/>
      </c>
      <c r="BH10" s="1" t="str">
        <f>IF(原本!BG11="","",原本!BG11)</f>
        <v/>
      </c>
      <c r="BI10" s="7" t="str">
        <f>IF(原本!BH11="","",原本!BH11)</f>
        <v/>
      </c>
      <c r="BJ10" s="1" t="str">
        <f>IF(原本!BI11="","",原本!BI11)</f>
        <v/>
      </c>
      <c r="BK10" s="1" t="str">
        <f>IF(原本!BJ11="","",原本!BJ11)</f>
        <v/>
      </c>
      <c r="BL10" s="1" t="str">
        <f>IF(原本!BK11="","",原本!BK11)</f>
        <v/>
      </c>
      <c r="BM10" s="7" t="str">
        <f>IF(原本!BL11="","",原本!BL11)</f>
        <v/>
      </c>
      <c r="BN10" s="1" t="str">
        <f>IF(原本!BM11="","",原本!BM11)</f>
        <v/>
      </c>
      <c r="BO10" s="1" t="str">
        <f>IF(原本!BN11="","",原本!BN11)</f>
        <v>2021/12/28 14:19:02 申し込み_x000D_
2021/12/28 14:21:13 「生産活動拡大支援事業　所要額調書」をアップロードしてください 添付ファイル 02_（別紙1）所要額調書_【特定非営利活動法人 博英舎・こころや】.xlsx 無害化_x000D_
2021/12/28 17:02:20  受付完了(参加団体-仙台市-健康福祉局障害福祉部障害企画課社会参加係 審査者　１)</v>
      </c>
      <c r="BP10" s="7">
        <f>IFERROR(INDEX($BT$3:$BU$8,MATCH(テーブル1[[#This Row],[一括申請事業所数]],$BT$3:$BT$8,0),2),1)</f>
        <v>1</v>
      </c>
      <c r="BQ10" s="7">
        <f t="shared" si="1"/>
        <v>200000</v>
      </c>
      <c r="BR10" s="7">
        <f>SUM(150000,50000)</f>
        <v>200000</v>
      </c>
    </row>
    <row r="11" spans="2:73" ht="24" customHeight="1">
      <c r="B11" s="1" t="s">
        <v>83</v>
      </c>
      <c r="AH11" s="7">
        <f>SUBTOTAL(105,テーブル1[所要額])</f>
        <v>50000</v>
      </c>
      <c r="BP11" s="7">
        <f>SUBTOTAL(109,テーブル1[法人内事業所申請数])</f>
        <v>10</v>
      </c>
      <c r="BQ11" s="7">
        <f>SUBTOTAL(109,テーブル1[助成額合計])</f>
        <v>2027000</v>
      </c>
      <c r="BR11" s="7">
        <f>SUBTOTAL(109,テーブル1[総事業費])</f>
        <v>2446180</v>
      </c>
    </row>
    <row r="12" spans="2:73" ht="24" customHeight="1">
      <c r="D12" s="2"/>
      <c r="H12" s="3"/>
      <c r="AH12" s="7"/>
      <c r="AO12" s="7"/>
      <c r="AS12" s="7"/>
      <c r="AW12" s="7"/>
      <c r="BA12" s="7"/>
      <c r="BE12" s="7"/>
      <c r="BI12" s="7"/>
      <c r="BM12" s="7"/>
      <c r="BP12" s="7"/>
      <c r="BQ12" s="7"/>
    </row>
    <row r="13" spans="2:73" ht="24" customHeight="1">
      <c r="D13" s="2"/>
      <c r="H13" s="3"/>
      <c r="AH13" s="7"/>
      <c r="AO13" s="7"/>
      <c r="AS13" s="7"/>
      <c r="AW13" s="7"/>
      <c r="BA13" s="7"/>
      <c r="BE13" s="7"/>
      <c r="BI13" s="7"/>
      <c r="BM13" s="7"/>
      <c r="BP13" s="7"/>
      <c r="BQ13" s="7"/>
    </row>
    <row r="14" spans="2:73" ht="24" customHeight="1">
      <c r="D14" s="2"/>
      <c r="H14" s="3"/>
      <c r="AH14" s="7"/>
      <c r="AO14" s="7"/>
      <c r="AS14" s="7"/>
      <c r="AW14" s="7"/>
      <c r="BA14" s="7"/>
      <c r="BE14" s="7"/>
      <c r="BI14" s="7"/>
      <c r="BM14" s="7"/>
      <c r="BP14" s="7"/>
      <c r="BQ14" s="7"/>
    </row>
    <row r="15" spans="2:73" ht="24" customHeight="1">
      <c r="D15" s="2"/>
      <c r="H15" s="3"/>
      <c r="AH15" s="7"/>
      <c r="AO15" s="7"/>
      <c r="AS15" s="7"/>
      <c r="AW15" s="7"/>
      <c r="BA15" s="7"/>
      <c r="BE15" s="7"/>
      <c r="BI15" s="7"/>
      <c r="BM15" s="7"/>
      <c r="BP15" s="7"/>
      <c r="BQ15" s="7"/>
    </row>
    <row r="16" spans="2:73" ht="24" customHeight="1">
      <c r="D16" s="2"/>
      <c r="H16" s="3"/>
      <c r="AH16" s="7"/>
      <c r="AO16" s="7"/>
      <c r="AS16" s="7"/>
      <c r="AW16" s="7"/>
      <c r="BA16" s="7"/>
      <c r="BE16" s="7"/>
      <c r="BI16" s="7"/>
      <c r="BM16" s="7"/>
      <c r="BP16" s="7"/>
      <c r="BQ16" s="7"/>
    </row>
    <row r="17" spans="4:69" ht="24" customHeight="1">
      <c r="D17" s="2"/>
      <c r="H17" s="3"/>
      <c r="AH17" s="7"/>
      <c r="AO17" s="7"/>
      <c r="AS17" s="7"/>
      <c r="AW17" s="7"/>
      <c r="BA17" s="7"/>
      <c r="BE17" s="7"/>
      <c r="BI17" s="7"/>
      <c r="BM17" s="7"/>
      <c r="BP17" s="7"/>
      <c r="BQ17" s="7"/>
    </row>
  </sheetData>
  <phoneticPr fontId="1"/>
  <pageMargins left="0.25" right="0.25" top="0.75" bottom="0.75" header="0.3" footer="0.3"/>
  <pageSetup paperSize="9" scale="61" fitToHeight="0" orientation="landscape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8">
    <tabColor rgb="FF00B0F0"/>
  </sheetPr>
  <dimension ref="A1:AT127"/>
  <sheetViews>
    <sheetView showGridLines="0" view="pageBreakPreview" zoomScaleNormal="100" zoomScaleSheetLayoutView="100" workbookViewId="0">
      <selection activeCell="F46" sqref="F46"/>
    </sheetView>
  </sheetViews>
  <sheetFormatPr defaultColWidth="9" defaultRowHeight="22.5" customHeight="1"/>
  <cols>
    <col min="1" max="46" width="1.90625" style="14" customWidth="1"/>
    <col min="47" max="47" width="25" style="14" customWidth="1"/>
    <col min="48" max="16384" width="9" style="14"/>
  </cols>
  <sheetData>
    <row r="1" spans="1:46" s="13" customFormat="1" ht="16.5" customHeight="1">
      <c r="A1" s="197"/>
      <c r="B1" s="197"/>
      <c r="C1" s="207" t="s">
        <v>170</v>
      </c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</row>
    <row r="2" spans="1:46" s="13" customFormat="1" ht="16.5" customHeight="1">
      <c r="A2" s="197"/>
      <c r="B2" s="197"/>
      <c r="C2" s="208">
        <v>44636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</row>
    <row r="3" spans="1:46" ht="18.75" customHeigh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</row>
    <row r="4" spans="1:46" ht="18.75" customHeight="1">
      <c r="A4" s="198" t="str">
        <f>VLOOKUP($AT$4,電子申請一覧!B3:BQ10,8,FALSE)</f>
        <v>特定非営利活動法人みどり会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T4" s="16">
        <v>1</v>
      </c>
    </row>
    <row r="5" spans="1:46" ht="18.75" customHeight="1">
      <c r="A5" s="198" t="s">
        <v>171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</row>
    <row r="6" spans="1:46" ht="18.75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</row>
    <row r="7" spans="1:46" ht="18.75" customHeight="1">
      <c r="A7" s="207" t="s">
        <v>163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</row>
    <row r="8" spans="1:46" ht="18.75" customHeight="1">
      <c r="A8" s="198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</row>
    <row r="9" spans="1:46" ht="22.5" customHeight="1">
      <c r="A9" s="203" t="s">
        <v>162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</row>
    <row r="10" spans="1:46" ht="18.75" customHeight="1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</row>
    <row r="11" spans="1:46" ht="93.75" customHeight="1">
      <c r="A11" s="205" t="s">
        <v>164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</row>
    <row r="12" spans="1:46" ht="18.75" customHeight="1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</row>
    <row r="13" spans="1:46" ht="18.75" customHeight="1">
      <c r="A13" s="197" t="s">
        <v>165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</row>
    <row r="14" spans="1:46" ht="18.75" customHeight="1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</row>
    <row r="15" spans="1:46" ht="18.75" customHeight="1">
      <c r="A15" s="13"/>
      <c r="B15" s="13"/>
      <c r="C15" s="13"/>
      <c r="D15" s="13"/>
      <c r="E15" s="13"/>
      <c r="F15" s="13"/>
      <c r="G15" s="13"/>
      <c r="H15" s="13"/>
      <c r="I15" s="198" t="s">
        <v>166</v>
      </c>
      <c r="J15" s="198"/>
      <c r="K15" s="198"/>
      <c r="L15" s="198"/>
      <c r="M15" s="198"/>
      <c r="N15" s="198"/>
      <c r="O15" s="198"/>
      <c r="P15" s="198"/>
      <c r="Q15" s="198"/>
      <c r="R15" s="198"/>
      <c r="S15" s="209">
        <f>VLOOKUP($AT$4,電子申請一覧!B3:BQ10,68,FALSE)</f>
        <v>200000</v>
      </c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197" t="s">
        <v>167</v>
      </c>
      <c r="AF15" s="197"/>
      <c r="AG15" s="197"/>
      <c r="AH15" s="13"/>
      <c r="AI15" s="13"/>
      <c r="AJ15" s="13"/>
      <c r="AK15" s="13"/>
      <c r="AL15" s="13"/>
      <c r="AM15" s="13"/>
      <c r="AN15" s="13"/>
      <c r="AO15" s="13"/>
    </row>
    <row r="16" spans="1:46" ht="18.75" customHeight="1">
      <c r="A16" s="13"/>
      <c r="B16" s="13"/>
      <c r="C16" s="13"/>
      <c r="D16" s="13"/>
      <c r="E16" s="13"/>
      <c r="F16" s="13"/>
      <c r="G16" s="13"/>
      <c r="H16" s="13"/>
      <c r="I16" s="198" t="s">
        <v>168</v>
      </c>
      <c r="J16" s="198"/>
      <c r="K16" s="198"/>
      <c r="L16" s="198"/>
      <c r="M16" s="198"/>
      <c r="N16" s="198"/>
      <c r="O16" s="198"/>
      <c r="P16" s="198"/>
      <c r="Q16" s="198"/>
      <c r="R16" s="198"/>
      <c r="S16" s="198" t="str">
        <f>VLOOKUP($AT$4,電子申請一覧!B3:BQ10,28,FALSE)</f>
        <v>就労継続支援B型</v>
      </c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3"/>
      <c r="AI16" s="13"/>
      <c r="AJ16" s="13"/>
      <c r="AK16" s="13"/>
      <c r="AL16" s="13"/>
      <c r="AM16" s="13"/>
      <c r="AN16" s="13"/>
      <c r="AO16" s="13"/>
    </row>
    <row r="17" spans="1:41" ht="18.75" customHeight="1">
      <c r="A17" s="13"/>
      <c r="B17" s="13"/>
      <c r="C17" s="13"/>
      <c r="D17" s="13"/>
      <c r="E17" s="13"/>
      <c r="F17" s="13"/>
      <c r="G17" s="13"/>
      <c r="H17" s="13"/>
      <c r="I17" s="198" t="s">
        <v>161</v>
      </c>
      <c r="J17" s="198"/>
      <c r="K17" s="198"/>
      <c r="L17" s="198"/>
      <c r="M17" s="198"/>
      <c r="N17" s="198"/>
      <c r="O17" s="198"/>
      <c r="P17" s="198"/>
      <c r="Q17" s="198"/>
      <c r="R17" s="198"/>
      <c r="S17" s="198" t="str">
        <f>VLOOKUP($AT$4,電子申請一覧!B3:BQ10,26,FALSE)</f>
        <v>みどり工房長町</v>
      </c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3"/>
      <c r="AI17" s="13"/>
      <c r="AJ17" s="13"/>
      <c r="AK17" s="13"/>
      <c r="AL17" s="13"/>
      <c r="AM17" s="13"/>
      <c r="AN17" s="13"/>
      <c r="AO17" s="13"/>
    </row>
    <row r="18" spans="1:41" ht="18.75" customHeight="1">
      <c r="A18" s="13"/>
      <c r="B18" s="13"/>
      <c r="C18" s="13"/>
      <c r="D18" s="13"/>
      <c r="E18" s="13"/>
      <c r="F18" s="13"/>
      <c r="G18" s="13"/>
      <c r="H18" s="13"/>
      <c r="I18" s="198" t="s">
        <v>168</v>
      </c>
      <c r="J18" s="198"/>
      <c r="K18" s="198"/>
      <c r="L18" s="198"/>
      <c r="M18" s="198"/>
      <c r="N18" s="198"/>
      <c r="O18" s="198"/>
      <c r="P18" s="198"/>
      <c r="Q18" s="198"/>
      <c r="R18" s="198"/>
      <c r="S18" s="198" t="str">
        <f>VLOOKUP($AT$4,電子申請一覧!B3:BQ10,39,FALSE)</f>
        <v>就労継続支援B型</v>
      </c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3"/>
      <c r="AI18" s="13"/>
      <c r="AJ18" s="13"/>
      <c r="AK18" s="13"/>
      <c r="AL18" s="13"/>
      <c r="AM18" s="13"/>
      <c r="AN18" s="13"/>
      <c r="AO18" s="13"/>
    </row>
    <row r="19" spans="1:41" ht="18.75" customHeight="1">
      <c r="A19" s="13"/>
      <c r="B19" s="13"/>
      <c r="C19" s="13"/>
      <c r="D19" s="13"/>
      <c r="E19" s="13"/>
      <c r="F19" s="13"/>
      <c r="G19" s="13"/>
      <c r="H19" s="13"/>
      <c r="I19" s="198" t="s">
        <v>161</v>
      </c>
      <c r="J19" s="198"/>
      <c r="K19" s="198"/>
      <c r="L19" s="198"/>
      <c r="M19" s="198"/>
      <c r="N19" s="198"/>
      <c r="O19" s="198"/>
      <c r="P19" s="198"/>
      <c r="Q19" s="198"/>
      <c r="R19" s="198"/>
      <c r="S19" s="198" t="str">
        <f>VLOOKUP($AT$4,電子申請一覧!B3:BQ10,37,FALSE)</f>
        <v>みどり工房泉中央</v>
      </c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3"/>
      <c r="AI19" s="13"/>
      <c r="AJ19" s="13"/>
      <c r="AK19" s="13"/>
      <c r="AL19" s="13"/>
      <c r="AM19" s="13"/>
      <c r="AN19" s="13"/>
      <c r="AO19" s="13"/>
    </row>
    <row r="20" spans="1:41" ht="18.75" customHeight="1">
      <c r="A20" s="198"/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</row>
    <row r="21" spans="1:41" ht="18.7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</row>
    <row r="22" spans="1:41" ht="18.75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</row>
    <row r="23" spans="1:41" ht="18.75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</row>
    <row r="24" spans="1:41" ht="18.75" customHeight="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</row>
    <row r="25" spans="1:41" ht="18.7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</row>
    <row r="26" spans="1:41" ht="18.7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</row>
    <row r="27" spans="1:41" ht="18.75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</row>
    <row r="28" spans="1:41" ht="18.7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</row>
    <row r="29" spans="1:41" ht="18.75" customHeight="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</row>
    <row r="30" spans="1:41" ht="18.75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</row>
    <row r="31" spans="1:41" ht="18.75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</row>
    <row r="32" spans="1:41" ht="18.75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</row>
    <row r="33" spans="1:41" ht="18.7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</row>
    <row r="34" spans="1:41" ht="18.7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</row>
    <row r="35" spans="1:41" ht="18.75" customHeight="1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</row>
    <row r="36" spans="1:41" ht="18.75" customHeight="1">
      <c r="A36" s="15"/>
      <c r="B36" s="15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</row>
    <row r="37" spans="1:41" ht="16.5" customHeight="1"/>
    <row r="38" spans="1:41" ht="16.5" customHeight="1"/>
    <row r="39" spans="1:41" ht="16.5" customHeight="1"/>
    <row r="40" spans="1:41" ht="16.5" customHeight="1"/>
    <row r="41" spans="1:41" ht="16.5" customHeight="1"/>
    <row r="42" spans="1:41" ht="16.5" customHeight="1"/>
    <row r="43" spans="1:41" ht="16.5" customHeight="1"/>
    <row r="44" spans="1:41" ht="16.5" customHeight="1"/>
    <row r="45" spans="1:41" ht="16.5" customHeight="1"/>
    <row r="46" spans="1:41" ht="16.5" customHeight="1"/>
    <row r="47" spans="1:41" ht="16.5" customHeight="1"/>
    <row r="48" spans="1:41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</sheetData>
  <sheetProtection formatCells="0" selectLockedCells="1"/>
  <mergeCells count="43">
    <mergeCell ref="I15:R15"/>
    <mergeCell ref="S19:AG19"/>
    <mergeCell ref="S15:AD15"/>
    <mergeCell ref="AE15:AG15"/>
    <mergeCell ref="I19:R19"/>
    <mergeCell ref="I17:R17"/>
    <mergeCell ref="I16:R16"/>
    <mergeCell ref="I18:R18"/>
    <mergeCell ref="S17:AG17"/>
    <mergeCell ref="A34:AO34"/>
    <mergeCell ref="A35:AO35"/>
    <mergeCell ref="A28:AO28"/>
    <mergeCell ref="A29:AO29"/>
    <mergeCell ref="A30:AO30"/>
    <mergeCell ref="A31:AO31"/>
    <mergeCell ref="A32:AO32"/>
    <mergeCell ref="A33:AO33"/>
    <mergeCell ref="A27:AO27"/>
    <mergeCell ref="A7:AO7"/>
    <mergeCell ref="A8:AO8"/>
    <mergeCell ref="A4:AO4"/>
    <mergeCell ref="A6:AO6"/>
    <mergeCell ref="A5:AO5"/>
    <mergeCell ref="A14:AO14"/>
    <mergeCell ref="A20:AO20"/>
    <mergeCell ref="A21:AO21"/>
    <mergeCell ref="A22:AO22"/>
    <mergeCell ref="A23:AO23"/>
    <mergeCell ref="A24:AO24"/>
    <mergeCell ref="A25:AO25"/>
    <mergeCell ref="A26:AO26"/>
    <mergeCell ref="S16:AG16"/>
    <mergeCell ref="S18:AG18"/>
    <mergeCell ref="A1:B1"/>
    <mergeCell ref="C1:AO1"/>
    <mergeCell ref="A2:B2"/>
    <mergeCell ref="C2:AO2"/>
    <mergeCell ref="A13:AO13"/>
    <mergeCell ref="A10:AO10"/>
    <mergeCell ref="A11:AO11"/>
    <mergeCell ref="A12:AO12"/>
    <mergeCell ref="A3:AO3"/>
    <mergeCell ref="A9:AO9"/>
  </mergeCells>
  <phoneticPr fontId="1"/>
  <pageMargins left="1.1811023622047245" right="1.1811023622047245" top="1.3779527559055118" bottom="1.181102362204724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  <pageSetUpPr fitToPage="1"/>
  </sheetPr>
  <dimension ref="A1:R48"/>
  <sheetViews>
    <sheetView showGridLines="0" zoomScale="80" zoomScaleNormal="80" zoomScaleSheetLayoutView="70" workbookViewId="0">
      <pane ySplit="1" topLeftCell="A2" activePane="bottomLeft" state="frozen"/>
      <selection activeCell="I11" sqref="I11:I42"/>
      <selection pane="bottomLeft" activeCell="I11" sqref="I11:I42"/>
    </sheetView>
  </sheetViews>
  <sheetFormatPr defaultColWidth="9" defaultRowHeight="11.5" outlineLevelCol="1"/>
  <cols>
    <col min="1" max="1" width="6.90625" style="1" customWidth="1"/>
    <col min="2" max="2" width="14.36328125" style="1" customWidth="1"/>
    <col min="3" max="3" width="49.36328125" style="1" customWidth="1"/>
    <col min="4" max="4" width="23.26953125" style="1" hidden="1" customWidth="1" outlineLevel="1"/>
    <col min="5" max="5" width="43" style="1" customWidth="1" collapsed="1"/>
    <col min="6" max="6" width="29.36328125" style="1" customWidth="1"/>
    <col min="7" max="7" width="17" style="1" hidden="1" customWidth="1" outlineLevel="1"/>
    <col min="8" max="8" width="17" style="1" customWidth="1" collapsed="1"/>
    <col min="9" max="11" width="17" style="1" customWidth="1"/>
    <col min="12" max="12" width="17" style="1" hidden="1" customWidth="1" outlineLevel="1"/>
    <col min="13" max="13" width="19.36328125" style="1" customWidth="1" collapsed="1"/>
    <col min="14" max="15" width="21.08984375" style="159" customWidth="1"/>
    <col min="16" max="16" width="20.90625" style="1" hidden="1" customWidth="1" outlineLevel="1"/>
    <col min="17" max="17" width="16" style="1" hidden="1" customWidth="1" outlineLevel="1"/>
    <col min="18" max="18" width="9" style="1" collapsed="1"/>
    <col min="19" max="16384" width="9" style="1"/>
  </cols>
  <sheetData>
    <row r="1" spans="1:17" ht="46.5" customHeight="1">
      <c r="A1" s="159" t="s">
        <v>257</v>
      </c>
      <c r="B1" s="159" t="s">
        <v>645</v>
      </c>
      <c r="C1" s="159" t="s">
        <v>173</v>
      </c>
      <c r="D1" s="159" t="s">
        <v>584</v>
      </c>
      <c r="E1" s="159" t="s">
        <v>174</v>
      </c>
      <c r="F1" s="159" t="s">
        <v>175</v>
      </c>
      <c r="G1" s="159" t="s">
        <v>637</v>
      </c>
      <c r="H1" s="159" t="s">
        <v>873</v>
      </c>
      <c r="I1" s="159" t="s">
        <v>874</v>
      </c>
      <c r="J1" s="159" t="s">
        <v>872</v>
      </c>
      <c r="K1" s="159" t="s">
        <v>876</v>
      </c>
      <c r="L1" s="159" t="s">
        <v>893</v>
      </c>
      <c r="M1" s="159" t="s">
        <v>896</v>
      </c>
      <c r="N1" s="159" t="s">
        <v>897</v>
      </c>
      <c r="O1" s="159" t="s">
        <v>898</v>
      </c>
      <c r="P1" s="159" t="s">
        <v>875</v>
      </c>
      <c r="Q1" s="159" t="s">
        <v>892</v>
      </c>
    </row>
    <row r="2" spans="1:17" ht="25" customHeight="1">
      <c r="A2" s="1">
        <v>1</v>
      </c>
      <c r="B2" s="3">
        <v>44722</v>
      </c>
      <c r="C2" s="1" t="s">
        <v>669</v>
      </c>
      <c r="D2" s="1" t="s">
        <v>673</v>
      </c>
      <c r="E2" s="1" t="s">
        <v>677</v>
      </c>
      <c r="F2" s="1" t="s">
        <v>675</v>
      </c>
      <c r="G2" s="7">
        <v>1000000</v>
      </c>
      <c r="H2" s="7">
        <v>1000000</v>
      </c>
      <c r="I2" s="7">
        <v>1000000</v>
      </c>
      <c r="J2" s="7">
        <f>ROUNDDOWN(PRODUCT(テーブル25678910[[#This Row],[市交付確定額]],2)/3,-3)</f>
        <v>666000</v>
      </c>
      <c r="K2" s="7">
        <f>IF(テーブル25678910[[#This Row],[補助金支出]]="確定払","",テーブル25678910[[#This Row],[市交付決定額]]-テーブル25678910[[#This Row],[市交付確定額]])</f>
        <v>0</v>
      </c>
      <c r="L2" s="159" t="s">
        <v>895</v>
      </c>
      <c r="M2" s="3">
        <v>45162</v>
      </c>
      <c r="N2" s="160"/>
      <c r="O2" s="160"/>
      <c r="P2" s="157" t="s">
        <v>885</v>
      </c>
      <c r="Q2" s="1">
        <v>1361</v>
      </c>
    </row>
    <row r="3" spans="1:17" ht="25" customHeight="1">
      <c r="A3" s="1">
        <v>2</v>
      </c>
      <c r="B3" s="3">
        <v>44725</v>
      </c>
      <c r="C3" s="1" t="s">
        <v>682</v>
      </c>
      <c r="D3" s="1" t="s">
        <v>686</v>
      </c>
      <c r="E3" s="1" t="s">
        <v>206</v>
      </c>
      <c r="F3" s="1" t="s">
        <v>688</v>
      </c>
      <c r="G3" s="7">
        <v>155802</v>
      </c>
      <c r="H3" s="7">
        <v>155000</v>
      </c>
      <c r="I3" s="7">
        <v>151000</v>
      </c>
      <c r="J3" s="7">
        <f>ROUNDDOWN(PRODUCT(テーブル25678910[[#This Row],[市交付確定額]],2)/3,-3)</f>
        <v>100000</v>
      </c>
      <c r="K3" s="7">
        <f>IF(テーブル25678910[[#This Row],[補助金支出]]="確定払","",テーブル25678910[[#This Row],[市交付決定額]]-テーブル25678910[[#This Row],[市交付確定額]])</f>
        <v>4000</v>
      </c>
      <c r="L3" s="159" t="s">
        <v>895</v>
      </c>
      <c r="M3" s="3">
        <v>45162</v>
      </c>
      <c r="N3" s="160"/>
      <c r="O3" s="160" t="s">
        <v>902</v>
      </c>
      <c r="P3" s="157" t="s">
        <v>880</v>
      </c>
      <c r="Q3" s="1">
        <v>1362</v>
      </c>
    </row>
    <row r="4" spans="1:17" ht="25" customHeight="1">
      <c r="A4" s="1">
        <v>3</v>
      </c>
      <c r="B4" s="3">
        <v>44761</v>
      </c>
      <c r="C4" s="1" t="s">
        <v>682</v>
      </c>
      <c r="D4" s="1" t="s">
        <v>686</v>
      </c>
      <c r="E4" s="1" t="s">
        <v>210</v>
      </c>
      <c r="F4" s="1" t="s">
        <v>688</v>
      </c>
      <c r="G4" s="7">
        <v>461119</v>
      </c>
      <c r="H4" s="158">
        <v>463000</v>
      </c>
      <c r="I4" s="158">
        <v>463000</v>
      </c>
      <c r="J4" s="7">
        <f>ROUNDDOWN(PRODUCT(テーブル25678910[[#This Row],[市交付確定額]],2)/3,-3)</f>
        <v>308000</v>
      </c>
      <c r="K4" s="7">
        <f>IF(テーブル25678910[[#This Row],[補助金支出]]="確定払","",テーブル25678910[[#This Row],[市交付決定額]]-テーブル25678910[[#This Row],[市交付確定額]])</f>
        <v>0</v>
      </c>
      <c r="L4" s="159" t="s">
        <v>895</v>
      </c>
      <c r="M4" s="3">
        <v>45162</v>
      </c>
      <c r="N4" s="160" t="s">
        <v>907</v>
      </c>
      <c r="O4" s="160" t="s">
        <v>902</v>
      </c>
      <c r="P4" s="157" t="s">
        <v>889</v>
      </c>
      <c r="Q4" s="1">
        <v>1363</v>
      </c>
    </row>
    <row r="5" spans="1:17" ht="25" customHeight="1">
      <c r="A5" s="1">
        <v>4</v>
      </c>
      <c r="B5" s="3">
        <v>44726</v>
      </c>
      <c r="C5" s="1" t="s">
        <v>682</v>
      </c>
      <c r="D5" s="1" t="s">
        <v>686</v>
      </c>
      <c r="E5" s="1" t="s">
        <v>697</v>
      </c>
      <c r="F5" s="1" t="s">
        <v>695</v>
      </c>
      <c r="G5" s="7">
        <v>1000000</v>
      </c>
      <c r="H5" s="7">
        <v>1000000</v>
      </c>
      <c r="I5" s="7">
        <v>971000</v>
      </c>
      <c r="J5" s="7">
        <f>ROUNDDOWN(PRODUCT(テーブル25678910[[#This Row],[市交付確定額]],2)/3,-3)</f>
        <v>647000</v>
      </c>
      <c r="K5" s="7">
        <f>IF(テーブル25678910[[#This Row],[補助金支出]]="確定払","",テーブル25678910[[#This Row],[市交付決定額]]-テーブル25678910[[#This Row],[市交付確定額]])</f>
        <v>29000</v>
      </c>
      <c r="L5" s="159" t="s">
        <v>895</v>
      </c>
      <c r="M5" s="3">
        <v>45162</v>
      </c>
      <c r="N5" s="160"/>
      <c r="O5" s="160" t="s">
        <v>902</v>
      </c>
      <c r="P5" s="157" t="s">
        <v>880</v>
      </c>
      <c r="Q5" s="1">
        <v>1364</v>
      </c>
    </row>
    <row r="6" spans="1:17" ht="25" customHeight="1">
      <c r="A6" s="1">
        <v>5</v>
      </c>
      <c r="B6" s="3">
        <v>44725</v>
      </c>
      <c r="C6" s="1" t="s">
        <v>682</v>
      </c>
      <c r="D6" s="1" t="s">
        <v>686</v>
      </c>
      <c r="E6" s="1" t="s">
        <v>701</v>
      </c>
      <c r="F6" s="1" t="s">
        <v>695</v>
      </c>
      <c r="G6" s="7">
        <v>637422</v>
      </c>
      <c r="H6" s="7">
        <v>637000</v>
      </c>
      <c r="I6" s="7">
        <v>635000</v>
      </c>
      <c r="J6" s="7">
        <f>ROUNDDOWN(PRODUCT(テーブル25678910[[#This Row],[市交付確定額]],2)/3,-3)</f>
        <v>423000</v>
      </c>
      <c r="K6" s="7">
        <f>IF(テーブル25678910[[#This Row],[補助金支出]]="確定払","",テーブル25678910[[#This Row],[市交付決定額]]-テーブル25678910[[#This Row],[市交付確定額]])</f>
        <v>2000</v>
      </c>
      <c r="L6" s="159" t="s">
        <v>895</v>
      </c>
      <c r="M6" s="3">
        <v>45162</v>
      </c>
      <c r="N6" s="160"/>
      <c r="O6" s="160" t="s">
        <v>902</v>
      </c>
      <c r="P6" s="157" t="s">
        <v>880</v>
      </c>
      <c r="Q6" s="1">
        <v>1365</v>
      </c>
    </row>
    <row r="7" spans="1:17" ht="25" customHeight="1">
      <c r="A7" s="1">
        <v>6</v>
      </c>
      <c r="B7" s="3">
        <v>44725</v>
      </c>
      <c r="C7" s="1" t="s">
        <v>682</v>
      </c>
      <c r="D7" s="1" t="s">
        <v>686</v>
      </c>
      <c r="E7" s="1" t="s">
        <v>704</v>
      </c>
      <c r="F7" s="1" t="s">
        <v>695</v>
      </c>
      <c r="G7" s="7">
        <v>643286</v>
      </c>
      <c r="H7" s="7">
        <v>643000</v>
      </c>
      <c r="I7" s="7">
        <v>618000</v>
      </c>
      <c r="J7" s="7">
        <f>ROUNDDOWN(PRODUCT(テーブル25678910[[#This Row],[市交付確定額]],2)/3,-3)</f>
        <v>412000</v>
      </c>
      <c r="K7" s="7">
        <f>IF(テーブル25678910[[#This Row],[補助金支出]]="確定払","",テーブル25678910[[#This Row],[市交付決定額]]-テーブル25678910[[#This Row],[市交付確定額]])</f>
        <v>25000</v>
      </c>
      <c r="L7" s="159" t="s">
        <v>895</v>
      </c>
      <c r="M7" s="3">
        <v>45162</v>
      </c>
      <c r="N7" s="160"/>
      <c r="O7" s="160" t="s">
        <v>902</v>
      </c>
      <c r="P7" s="157" t="s">
        <v>880</v>
      </c>
      <c r="Q7" s="1">
        <v>1366</v>
      </c>
    </row>
    <row r="8" spans="1:17" ht="25" customHeight="1">
      <c r="A8" s="1">
        <v>7</v>
      </c>
      <c r="B8" s="3">
        <v>44722</v>
      </c>
      <c r="C8" s="1" t="s">
        <v>682</v>
      </c>
      <c r="D8" s="1" t="s">
        <v>686</v>
      </c>
      <c r="E8" s="1" t="s">
        <v>707</v>
      </c>
      <c r="F8" s="1" t="s">
        <v>695</v>
      </c>
      <c r="G8" s="7">
        <v>918308</v>
      </c>
      <c r="H8" s="7">
        <v>918000</v>
      </c>
      <c r="I8" s="7">
        <v>911000</v>
      </c>
      <c r="J8" s="7">
        <f>ROUNDDOWN(PRODUCT(テーブル25678910[[#This Row],[市交付確定額]],2)/3,-3)</f>
        <v>607000</v>
      </c>
      <c r="K8" s="7">
        <f>IF(テーブル25678910[[#This Row],[補助金支出]]="確定払","",テーブル25678910[[#This Row],[市交付決定額]]-テーブル25678910[[#This Row],[市交付確定額]])</f>
        <v>7000</v>
      </c>
      <c r="L8" s="159" t="s">
        <v>895</v>
      </c>
      <c r="M8" s="3">
        <v>45162</v>
      </c>
      <c r="N8" s="160"/>
      <c r="O8" s="160" t="s">
        <v>902</v>
      </c>
      <c r="P8" s="157" t="s">
        <v>880</v>
      </c>
      <c r="Q8" s="1">
        <v>1367</v>
      </c>
    </row>
    <row r="9" spans="1:17" ht="25" customHeight="1">
      <c r="A9" s="1">
        <v>8</v>
      </c>
      <c r="B9" s="3">
        <v>44726</v>
      </c>
      <c r="C9" s="1" t="s">
        <v>682</v>
      </c>
      <c r="D9" s="1" t="s">
        <v>686</v>
      </c>
      <c r="E9" s="1" t="s">
        <v>712</v>
      </c>
      <c r="F9" s="1" t="s">
        <v>710</v>
      </c>
      <c r="G9" s="7">
        <v>858045</v>
      </c>
      <c r="H9" s="158">
        <v>922000</v>
      </c>
      <c r="I9" s="158">
        <v>922000</v>
      </c>
      <c r="J9" s="7">
        <f>ROUNDDOWN(PRODUCT(テーブル25678910[[#This Row],[市交付確定額]],2)/3,-3)</f>
        <v>614000</v>
      </c>
      <c r="K9" s="7">
        <f>IF(テーブル25678910[[#This Row],[補助金支出]]="確定払","",テーブル25678910[[#This Row],[市交付決定額]]-テーブル25678910[[#This Row],[市交付確定額]])</f>
        <v>0</v>
      </c>
      <c r="L9" s="159" t="s">
        <v>895</v>
      </c>
      <c r="M9" s="3">
        <v>45162</v>
      </c>
      <c r="N9" s="160" t="s">
        <v>907</v>
      </c>
      <c r="O9" s="160" t="s">
        <v>902</v>
      </c>
      <c r="P9" s="157" t="s">
        <v>889</v>
      </c>
      <c r="Q9" s="1">
        <v>1368</v>
      </c>
    </row>
    <row r="10" spans="1:17" ht="25" customHeight="1">
      <c r="A10" s="1">
        <v>9</v>
      </c>
      <c r="B10" s="3">
        <v>44761</v>
      </c>
      <c r="C10" s="1" t="s">
        <v>715</v>
      </c>
      <c r="D10" s="1" t="s">
        <v>686</v>
      </c>
      <c r="E10" s="1" t="s">
        <v>719</v>
      </c>
      <c r="F10" s="1" t="s">
        <v>717</v>
      </c>
      <c r="G10" s="7">
        <v>554601</v>
      </c>
      <c r="H10" s="7">
        <v>554000</v>
      </c>
      <c r="I10" s="7">
        <v>551000</v>
      </c>
      <c r="J10" s="7">
        <f>ROUNDDOWN(PRODUCT(テーブル25678910[[#This Row],[市交付確定額]],2)/3,-3)</f>
        <v>367000</v>
      </c>
      <c r="K10" s="7">
        <f>IF(テーブル25678910[[#This Row],[補助金支出]]="確定払","",テーブル25678910[[#This Row],[市交付決定額]]-テーブル25678910[[#This Row],[市交付確定額]])</f>
        <v>3000</v>
      </c>
      <c r="L10" s="159" t="s">
        <v>895</v>
      </c>
      <c r="M10" s="3">
        <v>45162</v>
      </c>
      <c r="N10" s="160"/>
      <c r="O10" s="160" t="s">
        <v>902</v>
      </c>
      <c r="P10" s="157" t="s">
        <v>880</v>
      </c>
      <c r="Q10" s="1">
        <v>1369</v>
      </c>
    </row>
    <row r="11" spans="1:17" ht="25" customHeight="1">
      <c r="A11" s="1">
        <v>10</v>
      </c>
      <c r="B11" s="3">
        <v>44726</v>
      </c>
      <c r="C11" s="1" t="s">
        <v>723</v>
      </c>
      <c r="D11" s="1" t="s">
        <v>727</v>
      </c>
      <c r="E11" s="1" t="s">
        <v>234</v>
      </c>
      <c r="F11" s="1" t="s">
        <v>695</v>
      </c>
      <c r="G11" s="7">
        <v>1000000</v>
      </c>
      <c r="H11" s="7">
        <v>1000000</v>
      </c>
      <c r="I11" s="7">
        <v>1000000</v>
      </c>
      <c r="J11" s="7">
        <f>ROUNDDOWN(PRODUCT(テーブル25678910[[#This Row],[市交付確定額]],2)/3,-3)</f>
        <v>666000</v>
      </c>
      <c r="K11" s="7">
        <f>IF(テーブル25678910[[#This Row],[補助金支出]]="確定払","",テーブル25678910[[#This Row],[市交付決定額]]-テーブル25678910[[#This Row],[市交付確定額]])</f>
        <v>0</v>
      </c>
      <c r="L11" s="159" t="s">
        <v>895</v>
      </c>
      <c r="M11" s="3">
        <v>45162</v>
      </c>
      <c r="N11" s="160"/>
      <c r="O11" s="160"/>
      <c r="P11" s="157" t="s">
        <v>877</v>
      </c>
      <c r="Q11" s="1">
        <v>1370</v>
      </c>
    </row>
    <row r="12" spans="1:17" ht="25" customHeight="1">
      <c r="A12" s="1">
        <v>11</v>
      </c>
      <c r="B12" s="3">
        <v>44749</v>
      </c>
      <c r="C12" s="1" t="s">
        <v>903</v>
      </c>
      <c r="D12" s="1" t="s">
        <v>736</v>
      </c>
      <c r="E12" s="1" t="s">
        <v>850</v>
      </c>
      <c r="F12" s="1" t="s">
        <v>717</v>
      </c>
      <c r="G12" s="7">
        <v>434000</v>
      </c>
      <c r="H12" s="7">
        <v>434000</v>
      </c>
      <c r="I12" s="7">
        <v>434000</v>
      </c>
      <c r="J12" s="7">
        <f>ROUNDDOWN(PRODUCT(テーブル25678910[[#This Row],[市交付確定額]],2)/3,-3)</f>
        <v>289000</v>
      </c>
      <c r="K12" s="7">
        <f>IF(テーブル25678910[[#This Row],[補助金支出]]="確定払","",テーブル25678910[[#This Row],[市交付決定額]]-テーブル25678910[[#This Row],[市交付確定額]])</f>
        <v>0</v>
      </c>
      <c r="L12" s="159" t="s">
        <v>895</v>
      </c>
      <c r="M12" s="3">
        <v>45162</v>
      </c>
      <c r="N12" s="160"/>
      <c r="O12" s="160"/>
      <c r="P12" s="157" t="s">
        <v>881</v>
      </c>
      <c r="Q12" s="1">
        <v>1371</v>
      </c>
    </row>
    <row r="13" spans="1:17" ht="25" customHeight="1">
      <c r="A13" s="1">
        <v>12</v>
      </c>
      <c r="B13" s="3">
        <v>44749</v>
      </c>
      <c r="C13" s="1" t="s">
        <v>903</v>
      </c>
      <c r="D13" s="1" t="s">
        <v>740</v>
      </c>
      <c r="E13" s="1" t="s">
        <v>742</v>
      </c>
      <c r="F13" s="1" t="s">
        <v>710</v>
      </c>
      <c r="G13" s="7">
        <v>644000</v>
      </c>
      <c r="H13" s="7">
        <v>644000</v>
      </c>
      <c r="I13" s="7">
        <v>644000</v>
      </c>
      <c r="J13" s="7">
        <f>ROUNDDOWN(PRODUCT(テーブル25678910[[#This Row],[市交付確定額]],2)/3,-3)</f>
        <v>429000</v>
      </c>
      <c r="K13" s="7">
        <f>IF(テーブル25678910[[#This Row],[補助金支出]]="確定払","",テーブル25678910[[#This Row],[市交付決定額]]-テーブル25678910[[#This Row],[市交付確定額]])</f>
        <v>0</v>
      </c>
      <c r="L13" s="159" t="s">
        <v>895</v>
      </c>
      <c r="M13" s="3">
        <v>45162</v>
      </c>
      <c r="N13" s="160"/>
      <c r="O13" s="160"/>
      <c r="P13" s="157" t="s">
        <v>879</v>
      </c>
      <c r="Q13" s="1">
        <v>1372</v>
      </c>
    </row>
    <row r="14" spans="1:17" ht="25" customHeight="1">
      <c r="A14" s="1">
        <v>13</v>
      </c>
      <c r="B14" s="3">
        <v>44722</v>
      </c>
      <c r="C14" s="1" t="s">
        <v>745</v>
      </c>
      <c r="D14" s="1" t="s">
        <v>749</v>
      </c>
      <c r="E14" s="1" t="s">
        <v>753</v>
      </c>
      <c r="F14" s="1" t="s">
        <v>751</v>
      </c>
      <c r="G14" s="7">
        <v>117696</v>
      </c>
      <c r="H14" s="7">
        <v>117000</v>
      </c>
      <c r="I14" s="7">
        <v>117000</v>
      </c>
      <c r="J14" s="7">
        <f>ROUNDDOWN(PRODUCT(テーブル25678910[[#This Row],[市交付確定額]],2)/3,-3)</f>
        <v>78000</v>
      </c>
      <c r="K14" s="7">
        <f>IF(テーブル25678910[[#This Row],[補助金支出]]="確定払","",テーブル25678910[[#This Row],[市交付決定額]]-テーブル25678910[[#This Row],[市交付確定額]])</f>
        <v>0</v>
      </c>
      <c r="L14" s="159" t="s">
        <v>895</v>
      </c>
      <c r="M14" s="3">
        <v>45162</v>
      </c>
      <c r="N14" s="160"/>
      <c r="O14" s="160"/>
      <c r="P14" s="157" t="s">
        <v>881</v>
      </c>
      <c r="Q14" s="1">
        <v>1373</v>
      </c>
    </row>
    <row r="15" spans="1:17" ht="25" customHeight="1">
      <c r="A15" s="1">
        <v>14</v>
      </c>
      <c r="B15" s="3">
        <v>44722</v>
      </c>
      <c r="C15" s="1" t="s">
        <v>756</v>
      </c>
      <c r="D15" s="1" t="s">
        <v>760</v>
      </c>
      <c r="E15" s="1" t="s">
        <v>248</v>
      </c>
      <c r="F15" s="1" t="s">
        <v>695</v>
      </c>
      <c r="G15" s="7">
        <v>1000000</v>
      </c>
      <c r="H15" s="7">
        <v>1000000</v>
      </c>
      <c r="I15" s="7">
        <v>1000000</v>
      </c>
      <c r="J15" s="7">
        <f>ROUNDDOWN(PRODUCT(テーブル25678910[[#This Row],[市交付確定額]],2)/3,-3)</f>
        <v>666000</v>
      </c>
      <c r="K15" s="7">
        <f>IF(テーブル25678910[[#This Row],[補助金支出]]="確定払","",テーブル25678910[[#This Row],[市交付決定額]]-テーブル25678910[[#This Row],[市交付確定額]])</f>
        <v>0</v>
      </c>
      <c r="L15" s="159" t="s">
        <v>895</v>
      </c>
      <c r="M15" s="3">
        <v>45162</v>
      </c>
      <c r="N15" s="160"/>
      <c r="O15" s="160"/>
      <c r="P15" s="157" t="s">
        <v>879</v>
      </c>
      <c r="Q15" s="1">
        <v>1374</v>
      </c>
    </row>
    <row r="16" spans="1:17" ht="25" customHeight="1">
      <c r="A16" s="1">
        <v>15</v>
      </c>
      <c r="B16" s="3">
        <v>44725</v>
      </c>
      <c r="C16" s="1" t="s">
        <v>904</v>
      </c>
      <c r="D16" s="1" t="s">
        <v>768</v>
      </c>
      <c r="E16" s="1" t="s">
        <v>240</v>
      </c>
      <c r="F16" s="1" t="s">
        <v>770</v>
      </c>
      <c r="G16" s="7">
        <v>184300</v>
      </c>
      <c r="H16" s="7">
        <v>184000</v>
      </c>
      <c r="I16" s="7">
        <v>184000</v>
      </c>
      <c r="J16" s="7">
        <f>ROUNDDOWN(PRODUCT(テーブル25678910[[#This Row],[市交付確定額]],2)/3,-3)</f>
        <v>122000</v>
      </c>
      <c r="K16" s="7">
        <f>IF(テーブル25678910[[#This Row],[補助金支出]]="確定払","",テーブル25678910[[#This Row],[市交付決定額]]-テーブル25678910[[#This Row],[市交付確定額]])</f>
        <v>0</v>
      </c>
      <c r="L16" s="159" t="s">
        <v>895</v>
      </c>
      <c r="M16" s="3">
        <v>45162</v>
      </c>
      <c r="N16" s="160"/>
      <c r="O16" s="160"/>
      <c r="P16" s="157" t="s">
        <v>887</v>
      </c>
      <c r="Q16" s="1">
        <v>1375</v>
      </c>
    </row>
    <row r="17" spans="1:17" ht="25" customHeight="1">
      <c r="A17" s="1">
        <v>16</v>
      </c>
      <c r="B17" s="3">
        <v>44725</v>
      </c>
      <c r="C17" s="1" t="s">
        <v>904</v>
      </c>
      <c r="D17" s="1" t="s">
        <v>768</v>
      </c>
      <c r="E17" s="1" t="s">
        <v>242</v>
      </c>
      <c r="F17" s="1" t="s">
        <v>717</v>
      </c>
      <c r="G17" s="7">
        <v>37960</v>
      </c>
      <c r="H17" s="7">
        <v>37000</v>
      </c>
      <c r="I17" s="7">
        <v>37000</v>
      </c>
      <c r="J17" s="7">
        <f>ROUNDDOWN(PRODUCT(テーブル25678910[[#This Row],[市交付確定額]],2)/3,-3)</f>
        <v>24000</v>
      </c>
      <c r="K17" s="7">
        <f>IF(テーブル25678910[[#This Row],[補助金支出]]="確定払","",テーブル25678910[[#This Row],[市交付決定額]]-テーブル25678910[[#This Row],[市交付確定額]])</f>
        <v>0</v>
      </c>
      <c r="L17" s="159" t="s">
        <v>895</v>
      </c>
      <c r="M17" s="3">
        <v>45162</v>
      </c>
      <c r="N17" s="160"/>
      <c r="O17" s="160"/>
      <c r="P17" s="157" t="s">
        <v>882</v>
      </c>
      <c r="Q17" s="1">
        <v>1376</v>
      </c>
    </row>
    <row r="18" spans="1:17" ht="25" customHeight="1">
      <c r="A18" s="1">
        <v>17</v>
      </c>
      <c r="B18" s="3">
        <v>44725</v>
      </c>
      <c r="C18" s="1" t="s">
        <v>904</v>
      </c>
      <c r="D18" s="1" t="s">
        <v>768</v>
      </c>
      <c r="E18" s="1" t="s">
        <v>779</v>
      </c>
      <c r="F18" s="1" t="s">
        <v>710</v>
      </c>
      <c r="G18" s="7">
        <v>75920</v>
      </c>
      <c r="H18" s="7">
        <v>75000</v>
      </c>
      <c r="I18" s="7">
        <v>75000</v>
      </c>
      <c r="J18" s="7">
        <f>ROUNDDOWN(PRODUCT(テーブル25678910[[#This Row],[市交付確定額]],2)/3,-3)</f>
        <v>50000</v>
      </c>
      <c r="K18" s="7">
        <f>IF(テーブル25678910[[#This Row],[補助金支出]]="確定払","",テーブル25678910[[#This Row],[市交付決定額]]-テーブル25678910[[#This Row],[市交付確定額]])</f>
        <v>0</v>
      </c>
      <c r="L18" s="159" t="s">
        <v>895</v>
      </c>
      <c r="M18" s="3">
        <v>45162</v>
      </c>
      <c r="N18" s="160"/>
      <c r="O18" s="160"/>
      <c r="P18" s="157" t="s">
        <v>882</v>
      </c>
      <c r="Q18" s="1">
        <v>1377</v>
      </c>
    </row>
    <row r="19" spans="1:17" ht="25" customHeight="1">
      <c r="A19" s="1">
        <v>18</v>
      </c>
      <c r="B19" s="3">
        <v>44723</v>
      </c>
      <c r="C19" s="1" t="s">
        <v>904</v>
      </c>
      <c r="D19" s="1" t="s">
        <v>768</v>
      </c>
      <c r="E19" s="1" t="s">
        <v>237</v>
      </c>
      <c r="F19" s="1" t="s">
        <v>781</v>
      </c>
      <c r="G19" s="7">
        <v>330640</v>
      </c>
      <c r="H19" s="7">
        <v>330000</v>
      </c>
      <c r="I19" s="7">
        <v>330000</v>
      </c>
      <c r="J19" s="7">
        <f>ROUNDDOWN(PRODUCT(テーブル25678910[[#This Row],[市交付確定額]],2)/3,-3)</f>
        <v>220000</v>
      </c>
      <c r="K19" s="7">
        <f>IF(テーブル25678910[[#This Row],[補助金支出]]="確定払","",テーブル25678910[[#This Row],[市交付決定額]]-テーブル25678910[[#This Row],[市交付確定額]])</f>
        <v>0</v>
      </c>
      <c r="L19" s="159" t="s">
        <v>895</v>
      </c>
      <c r="M19" s="3">
        <v>45162</v>
      </c>
      <c r="N19" s="160"/>
      <c r="O19" s="160"/>
      <c r="P19" s="157" t="s">
        <v>887</v>
      </c>
      <c r="Q19" s="1">
        <v>1378</v>
      </c>
    </row>
    <row r="20" spans="1:17" ht="25" customHeight="1">
      <c r="A20" s="1">
        <v>19</v>
      </c>
      <c r="B20" s="3">
        <v>44723</v>
      </c>
      <c r="C20" s="1" t="s">
        <v>904</v>
      </c>
      <c r="D20" s="1" t="s">
        <v>768</v>
      </c>
      <c r="E20" s="1" t="s">
        <v>238</v>
      </c>
      <c r="F20" s="1" t="s">
        <v>781</v>
      </c>
      <c r="G20" s="7">
        <v>233080</v>
      </c>
      <c r="H20" s="7">
        <v>233000</v>
      </c>
      <c r="I20" s="7">
        <v>233000</v>
      </c>
      <c r="J20" s="7">
        <f>ROUNDDOWN(PRODUCT(テーブル25678910[[#This Row],[市交付確定額]],2)/3,-3)</f>
        <v>155000</v>
      </c>
      <c r="K20" s="7">
        <f>IF(テーブル25678910[[#This Row],[補助金支出]]="確定払","",テーブル25678910[[#This Row],[市交付決定額]]-テーブル25678910[[#This Row],[市交付確定額]])</f>
        <v>0</v>
      </c>
      <c r="L20" s="159" t="s">
        <v>895</v>
      </c>
      <c r="M20" s="3">
        <v>45162</v>
      </c>
      <c r="N20" s="160"/>
      <c r="O20" s="160"/>
      <c r="P20" s="157" t="s">
        <v>887</v>
      </c>
      <c r="Q20" s="1">
        <v>1379</v>
      </c>
    </row>
    <row r="21" spans="1:17" ht="25" customHeight="1">
      <c r="A21" s="1">
        <v>20</v>
      </c>
      <c r="B21" s="3">
        <v>44723</v>
      </c>
      <c r="C21" s="1" t="s">
        <v>904</v>
      </c>
      <c r="D21" s="1" t="s">
        <v>768</v>
      </c>
      <c r="E21" s="1" t="s">
        <v>239</v>
      </c>
      <c r="F21" s="1" t="s">
        <v>781</v>
      </c>
      <c r="G21" s="7">
        <v>281860</v>
      </c>
      <c r="H21" s="7">
        <v>281000</v>
      </c>
      <c r="I21" s="7">
        <v>281000</v>
      </c>
      <c r="J21" s="7">
        <f>ROUNDDOWN(PRODUCT(テーブル25678910[[#This Row],[市交付確定額]],2)/3,-3)</f>
        <v>187000</v>
      </c>
      <c r="K21" s="7">
        <f>IF(テーブル25678910[[#This Row],[補助金支出]]="確定払","",テーブル25678910[[#This Row],[市交付決定額]]-テーブル25678910[[#This Row],[市交付確定額]])</f>
        <v>0</v>
      </c>
      <c r="L21" s="159" t="s">
        <v>895</v>
      </c>
      <c r="M21" s="3">
        <v>45162</v>
      </c>
      <c r="N21" s="160"/>
      <c r="O21" s="160"/>
      <c r="P21" s="157" t="s">
        <v>887</v>
      </c>
      <c r="Q21" s="1">
        <v>1380</v>
      </c>
    </row>
    <row r="22" spans="1:17" ht="25" customHeight="1">
      <c r="A22" s="1">
        <v>21</v>
      </c>
      <c r="B22" s="3">
        <v>44722</v>
      </c>
      <c r="C22" s="1" t="s">
        <v>787</v>
      </c>
      <c r="D22" s="1" t="s">
        <v>791</v>
      </c>
      <c r="E22" s="1" t="s">
        <v>243</v>
      </c>
      <c r="F22" s="1" t="s">
        <v>717</v>
      </c>
      <c r="G22" s="7">
        <v>611380</v>
      </c>
      <c r="H22" s="7">
        <v>611000</v>
      </c>
      <c r="I22" s="7">
        <v>611000</v>
      </c>
      <c r="J22" s="7">
        <f>ROUNDDOWN(PRODUCT(テーブル25678910[[#This Row],[市交付確定額]],2)/3,-3)</f>
        <v>407000</v>
      </c>
      <c r="K22" s="7">
        <f>IF(テーブル25678910[[#This Row],[補助金支出]]="確定払","",テーブル25678910[[#This Row],[市交付決定額]]-テーブル25678910[[#This Row],[市交付確定額]])</f>
        <v>0</v>
      </c>
      <c r="L22" s="159" t="s">
        <v>895</v>
      </c>
      <c r="M22" s="3">
        <v>45162</v>
      </c>
      <c r="N22" s="160"/>
      <c r="O22" s="160"/>
      <c r="P22" s="157" t="s">
        <v>883</v>
      </c>
      <c r="Q22" s="1">
        <v>1381</v>
      </c>
    </row>
    <row r="23" spans="1:17" ht="25" customHeight="1">
      <c r="A23" s="1">
        <v>22</v>
      </c>
      <c r="B23" s="3">
        <v>44721</v>
      </c>
      <c r="C23" s="1" t="s">
        <v>795</v>
      </c>
      <c r="D23" s="1" t="s">
        <v>799</v>
      </c>
      <c r="E23" s="1" t="s">
        <v>801</v>
      </c>
      <c r="F23" s="1" t="s">
        <v>717</v>
      </c>
      <c r="G23" s="7">
        <v>666600</v>
      </c>
      <c r="H23" s="7">
        <v>666000</v>
      </c>
      <c r="I23" s="7">
        <v>666000</v>
      </c>
      <c r="J23" s="7">
        <f>ROUNDDOWN(PRODUCT(テーブル25678910[[#This Row],[市交付確定額]],2)/3,-3)</f>
        <v>444000</v>
      </c>
      <c r="K23" s="7">
        <f>IF(テーブル25678910[[#This Row],[補助金支出]]="確定払","",テーブル25678910[[#This Row],[市交付決定額]]-テーブル25678910[[#This Row],[市交付確定額]])</f>
        <v>0</v>
      </c>
      <c r="L23" s="159" t="s">
        <v>895</v>
      </c>
      <c r="M23" s="3">
        <v>45162</v>
      </c>
      <c r="N23" s="160"/>
      <c r="O23" s="160"/>
      <c r="P23" s="157" t="s">
        <v>884</v>
      </c>
      <c r="Q23" s="1">
        <v>1382</v>
      </c>
    </row>
    <row r="24" spans="1:17" ht="25" customHeight="1">
      <c r="A24" s="1">
        <v>23</v>
      </c>
      <c r="B24" s="3">
        <v>44714</v>
      </c>
      <c r="C24" s="1" t="s">
        <v>905</v>
      </c>
      <c r="D24" s="1" t="s">
        <v>808</v>
      </c>
      <c r="E24" s="1" t="s">
        <v>810</v>
      </c>
      <c r="F24" s="1" t="s">
        <v>710</v>
      </c>
      <c r="G24" s="7">
        <v>772830</v>
      </c>
      <c r="H24" s="158">
        <v>774000</v>
      </c>
      <c r="I24" s="158">
        <v>774000</v>
      </c>
      <c r="J24" s="7">
        <f>ROUNDDOWN(PRODUCT(テーブル25678910[[#This Row],[市交付確定額]],2)/3,-3)</f>
        <v>516000</v>
      </c>
      <c r="K24" s="7">
        <f>IF(テーブル25678910[[#This Row],[補助金支出]]="確定払","",テーブル25678910[[#This Row],[市交付決定額]]-テーブル25678910[[#This Row],[市交付確定額]])</f>
        <v>0</v>
      </c>
      <c r="L24" s="159" t="s">
        <v>895</v>
      </c>
      <c r="M24" s="3">
        <v>45162</v>
      </c>
      <c r="N24" s="160" t="s">
        <v>907</v>
      </c>
      <c r="O24" s="160" t="s">
        <v>902</v>
      </c>
      <c r="P24" s="157" t="s">
        <v>890</v>
      </c>
      <c r="Q24" s="1">
        <v>1383</v>
      </c>
    </row>
    <row r="25" spans="1:17" ht="25" customHeight="1">
      <c r="A25" s="1">
        <v>24</v>
      </c>
      <c r="B25" s="3">
        <v>44715</v>
      </c>
      <c r="C25" s="1" t="s">
        <v>813</v>
      </c>
      <c r="D25" s="1" t="s">
        <v>817</v>
      </c>
      <c r="E25" s="1" t="s">
        <v>819</v>
      </c>
      <c r="F25" s="1" t="s">
        <v>710</v>
      </c>
      <c r="G25" s="7">
        <v>199100</v>
      </c>
      <c r="H25" s="7">
        <v>199000</v>
      </c>
      <c r="I25" s="7">
        <v>199000</v>
      </c>
      <c r="J25" s="7">
        <f>ROUNDDOWN(PRODUCT(テーブル25678910[[#This Row],[市交付確定額]],2)/3,-3)</f>
        <v>132000</v>
      </c>
      <c r="K25" s="7">
        <f>IF(テーブル25678910[[#This Row],[補助金支出]]="確定払","",テーブル25678910[[#This Row],[市交付決定額]]-テーブル25678910[[#This Row],[市交付確定額]])</f>
        <v>0</v>
      </c>
      <c r="L25" s="159" t="s">
        <v>895</v>
      </c>
      <c r="M25" s="3">
        <v>45162</v>
      </c>
      <c r="N25" s="160"/>
      <c r="O25" s="160"/>
      <c r="P25" s="157" t="s">
        <v>891</v>
      </c>
      <c r="Q25" s="1">
        <v>1384</v>
      </c>
    </row>
    <row r="26" spans="1:17" ht="25" customHeight="1">
      <c r="A26" s="1">
        <v>25</v>
      </c>
      <c r="B26" s="3">
        <v>44725</v>
      </c>
      <c r="C26" s="1" t="s">
        <v>224</v>
      </c>
      <c r="D26" s="1" t="s">
        <v>825</v>
      </c>
      <c r="E26" s="1" t="s">
        <v>827</v>
      </c>
      <c r="F26" s="1" t="s">
        <v>781</v>
      </c>
      <c r="G26" s="7">
        <v>863614</v>
      </c>
      <c r="H26" s="7">
        <v>863000</v>
      </c>
      <c r="I26" s="7">
        <v>863000</v>
      </c>
      <c r="J26" s="7">
        <f>ROUNDDOWN(PRODUCT(テーブル25678910[[#This Row],[市交付確定額]],2)/3,-3)</f>
        <v>575000</v>
      </c>
      <c r="K26" s="7">
        <f>IF(テーブル25678910[[#This Row],[補助金支出]]="確定払","",テーブル25678910[[#This Row],[市交付決定額]]-テーブル25678910[[#This Row],[市交付確定額]])</f>
        <v>0</v>
      </c>
      <c r="L26" s="159" t="s">
        <v>895</v>
      </c>
      <c r="M26" s="3">
        <v>45162</v>
      </c>
      <c r="N26" s="160"/>
      <c r="O26" s="160"/>
      <c r="P26" s="157" t="s">
        <v>886</v>
      </c>
      <c r="Q26" s="1">
        <v>1385</v>
      </c>
    </row>
    <row r="27" spans="1:17" ht="25" customHeight="1">
      <c r="A27" s="1">
        <v>26</v>
      </c>
      <c r="B27" s="3">
        <v>44721</v>
      </c>
      <c r="C27" s="1" t="s">
        <v>830</v>
      </c>
      <c r="D27" s="1" t="s">
        <v>834</v>
      </c>
      <c r="E27" s="1" t="s">
        <v>250</v>
      </c>
      <c r="F27" s="1" t="s">
        <v>781</v>
      </c>
      <c r="G27" s="7">
        <v>1000000</v>
      </c>
      <c r="H27" s="7">
        <v>1000000</v>
      </c>
      <c r="I27" s="7">
        <v>1000000</v>
      </c>
      <c r="J27" s="7">
        <f>ROUNDDOWN(PRODUCT(テーブル25678910[[#This Row],[市交付確定額]],2)/3,-3)</f>
        <v>666000</v>
      </c>
      <c r="K27" s="7">
        <f>IF(テーブル25678910[[#This Row],[補助金支出]]="確定払","",テーブル25678910[[#This Row],[市交付決定額]]-テーブル25678910[[#This Row],[市交付確定額]])</f>
        <v>0</v>
      </c>
      <c r="L27" s="159" t="s">
        <v>895</v>
      </c>
      <c r="M27" s="3">
        <v>45162</v>
      </c>
      <c r="N27" s="160"/>
      <c r="O27" s="160"/>
      <c r="P27" s="157" t="s">
        <v>888</v>
      </c>
      <c r="Q27" s="1">
        <v>1386</v>
      </c>
    </row>
    <row r="28" spans="1:17" ht="25" customHeight="1">
      <c r="A28" s="1">
        <v>27</v>
      </c>
      <c r="B28" s="3">
        <v>44721</v>
      </c>
      <c r="C28" s="1" t="s">
        <v>830</v>
      </c>
      <c r="D28" s="1" t="s">
        <v>834</v>
      </c>
      <c r="E28" s="1" t="s">
        <v>252</v>
      </c>
      <c r="F28" s="1" t="s">
        <v>837</v>
      </c>
      <c r="G28" s="7">
        <v>1000000</v>
      </c>
      <c r="H28" s="7">
        <v>1000000</v>
      </c>
      <c r="I28" s="7">
        <v>1000000</v>
      </c>
      <c r="J28" s="7">
        <f>ROUNDDOWN(PRODUCT(テーブル25678910[[#This Row],[市交付確定額]],2)/3,-3)</f>
        <v>666000</v>
      </c>
      <c r="K28" s="7">
        <f>IF(テーブル25678910[[#This Row],[補助金支出]]="確定払","",テーブル25678910[[#This Row],[市交付決定額]]-テーブル25678910[[#This Row],[市交付確定額]])</f>
        <v>0</v>
      </c>
      <c r="L28" s="159" t="s">
        <v>895</v>
      </c>
      <c r="M28" s="3">
        <v>45162</v>
      </c>
      <c r="N28" s="160"/>
      <c r="O28" s="160"/>
      <c r="P28" s="157" t="s">
        <v>888</v>
      </c>
      <c r="Q28" s="1">
        <v>1387</v>
      </c>
    </row>
    <row r="29" spans="1:17" ht="25" customHeight="1">
      <c r="A29" s="1">
        <v>28</v>
      </c>
      <c r="B29" s="3">
        <v>44721</v>
      </c>
      <c r="C29" s="1" t="s">
        <v>830</v>
      </c>
      <c r="D29" s="1" t="s">
        <v>834</v>
      </c>
      <c r="E29" s="1" t="s">
        <v>537</v>
      </c>
      <c r="F29" s="1" t="s">
        <v>781</v>
      </c>
      <c r="G29" s="7">
        <v>1000000</v>
      </c>
      <c r="H29" s="7">
        <v>1000000</v>
      </c>
      <c r="I29" s="7">
        <v>1000000</v>
      </c>
      <c r="J29" s="7">
        <f>ROUNDDOWN(PRODUCT(テーブル25678910[[#This Row],[市交付確定額]],2)/3,-3)</f>
        <v>666000</v>
      </c>
      <c r="K29" s="7">
        <f>IF(テーブル25678910[[#This Row],[補助金支出]]="確定払","",テーブル25678910[[#This Row],[市交付決定額]]-テーブル25678910[[#This Row],[市交付確定額]])</f>
        <v>0</v>
      </c>
      <c r="L29" s="159" t="s">
        <v>895</v>
      </c>
      <c r="M29" s="3">
        <v>45162</v>
      </c>
      <c r="N29" s="160"/>
      <c r="O29" s="160"/>
      <c r="P29" s="157" t="s">
        <v>888</v>
      </c>
      <c r="Q29" s="1">
        <v>1388</v>
      </c>
    </row>
    <row r="30" spans="1:17" ht="25" customHeight="1">
      <c r="A30" s="1">
        <v>29</v>
      </c>
      <c r="B30" s="3">
        <v>44721</v>
      </c>
      <c r="C30" s="1" t="s">
        <v>830</v>
      </c>
      <c r="D30" s="1" t="s">
        <v>834</v>
      </c>
      <c r="E30" s="1" t="s">
        <v>543</v>
      </c>
      <c r="F30" s="1" t="s">
        <v>781</v>
      </c>
      <c r="G30" s="7">
        <v>1000000</v>
      </c>
      <c r="H30" s="7">
        <v>1000000</v>
      </c>
      <c r="I30" s="7">
        <v>1000000</v>
      </c>
      <c r="J30" s="7">
        <f>ROUNDDOWN(PRODUCT(テーブル25678910[[#This Row],[市交付確定額]],2)/3,-3)</f>
        <v>666000</v>
      </c>
      <c r="K30" s="7">
        <f>IF(テーブル25678910[[#This Row],[補助金支出]]="確定払","",テーブル25678910[[#This Row],[市交付決定額]]-テーブル25678910[[#This Row],[市交付確定額]])</f>
        <v>0</v>
      </c>
      <c r="L30" s="159" t="s">
        <v>895</v>
      </c>
      <c r="M30" s="3">
        <v>45162</v>
      </c>
      <c r="N30" s="160"/>
      <c r="O30" s="160"/>
      <c r="P30" s="157" t="s">
        <v>888</v>
      </c>
      <c r="Q30" s="1">
        <v>1389</v>
      </c>
    </row>
    <row r="31" spans="1:17" ht="25" customHeight="1">
      <c r="A31" s="1">
        <v>30</v>
      </c>
      <c r="B31" s="3">
        <v>44721</v>
      </c>
      <c r="C31" s="1" t="s">
        <v>830</v>
      </c>
      <c r="D31" s="1" t="s">
        <v>834</v>
      </c>
      <c r="E31" s="1" t="s">
        <v>548</v>
      </c>
      <c r="F31" s="1" t="s">
        <v>781</v>
      </c>
      <c r="G31" s="7">
        <v>1000000</v>
      </c>
      <c r="H31" s="7">
        <v>1000000</v>
      </c>
      <c r="I31" s="7">
        <v>1000000</v>
      </c>
      <c r="J31" s="7">
        <f>ROUNDDOWN(PRODUCT(テーブル25678910[[#This Row],[市交付確定額]],2)/3,-3)</f>
        <v>666000</v>
      </c>
      <c r="K31" s="7">
        <f>IF(テーブル25678910[[#This Row],[補助金支出]]="確定払","",テーブル25678910[[#This Row],[市交付決定額]]-テーブル25678910[[#This Row],[市交付確定額]])</f>
        <v>0</v>
      </c>
      <c r="L31" s="159" t="s">
        <v>895</v>
      </c>
      <c r="M31" s="3">
        <v>45162</v>
      </c>
      <c r="N31" s="160"/>
      <c r="O31" s="160"/>
      <c r="P31" s="157" t="s">
        <v>888</v>
      </c>
      <c r="Q31" s="1">
        <v>1390</v>
      </c>
    </row>
    <row r="32" spans="1:17" ht="25" customHeight="1">
      <c r="A32" s="1">
        <v>31</v>
      </c>
      <c r="B32" s="3">
        <v>44721</v>
      </c>
      <c r="C32" s="1" t="s">
        <v>830</v>
      </c>
      <c r="D32" s="1" t="s">
        <v>834</v>
      </c>
      <c r="E32" s="1" t="s">
        <v>613</v>
      </c>
      <c r="F32" s="1" t="s">
        <v>837</v>
      </c>
      <c r="G32" s="7">
        <v>1000000</v>
      </c>
      <c r="H32" s="7">
        <v>1000000</v>
      </c>
      <c r="I32" s="7">
        <v>1000000</v>
      </c>
      <c r="J32" s="7">
        <f>ROUNDDOWN(PRODUCT(テーブル25678910[[#This Row],[市交付確定額]],2)/3,-3)</f>
        <v>666000</v>
      </c>
      <c r="K32" s="7">
        <f>IF(テーブル25678910[[#This Row],[補助金支出]]="確定払","",テーブル25678910[[#This Row],[市交付決定額]]-テーブル25678910[[#This Row],[市交付確定額]])</f>
        <v>0</v>
      </c>
      <c r="L32" s="159" t="s">
        <v>895</v>
      </c>
      <c r="M32" s="3">
        <v>45162</v>
      </c>
      <c r="N32" s="160"/>
      <c r="O32" s="160"/>
      <c r="P32" s="157" t="s">
        <v>888</v>
      </c>
      <c r="Q32" s="1">
        <v>1391</v>
      </c>
    </row>
    <row r="33" spans="1:17" ht="25" customHeight="1">
      <c r="A33" s="1">
        <v>32</v>
      </c>
      <c r="B33" s="3">
        <v>44717</v>
      </c>
      <c r="C33" s="1" t="s">
        <v>906</v>
      </c>
      <c r="D33" s="1" t="s">
        <v>844</v>
      </c>
      <c r="E33" s="1" t="s">
        <v>846</v>
      </c>
      <c r="F33" s="1" t="s">
        <v>688</v>
      </c>
      <c r="G33" s="7">
        <v>1000000</v>
      </c>
      <c r="H33" s="7">
        <v>1000000</v>
      </c>
      <c r="I33" s="7">
        <v>865000</v>
      </c>
      <c r="J33" s="7">
        <f>ROUNDDOWN(PRODUCT(テーブル25678910[[#This Row],[市交付確定額]],2)/3,-3)</f>
        <v>576000</v>
      </c>
      <c r="K33" s="7">
        <f>IF(テーブル25678910[[#This Row],[補助金支出]]="確定払","",テーブル25678910[[#This Row],[市交付決定額]]-テーブル25678910[[#This Row],[市交付確定額]])</f>
        <v>135000</v>
      </c>
      <c r="L33" s="159" t="s">
        <v>895</v>
      </c>
      <c r="M33" s="3">
        <v>45162</v>
      </c>
      <c r="N33" s="160"/>
      <c r="O33" s="160" t="s">
        <v>902</v>
      </c>
      <c r="P33" s="157" t="s">
        <v>878</v>
      </c>
      <c r="Q33" s="1">
        <v>1392</v>
      </c>
    </row>
    <row r="34" spans="1:17" ht="25" customHeight="1">
      <c r="A34" s="1">
        <v>33</v>
      </c>
      <c r="B34" s="3">
        <v>44712</v>
      </c>
      <c r="C34" s="1" t="s">
        <v>187</v>
      </c>
      <c r="E34" s="1" t="s">
        <v>188</v>
      </c>
      <c r="F34" s="1" t="s">
        <v>899</v>
      </c>
      <c r="G34" s="7">
        <v>281400</v>
      </c>
      <c r="H34" s="7">
        <v>281000</v>
      </c>
      <c r="I34" s="7">
        <v>281000</v>
      </c>
      <c r="J34" s="7">
        <f>ROUNDDOWN(PRODUCT(テーブル25678910[[#This Row],[市交付確定額]],2)/3,-3)</f>
        <v>187000</v>
      </c>
      <c r="K34" s="7" t="str">
        <f>IF(テーブル25678910[[#This Row],[補助金支出]]="確定払","",テーブル25678910[[#This Row],[市交付決定額]]-テーブル25678910[[#This Row],[市交付確定額]])</f>
        <v/>
      </c>
      <c r="L34" s="159" t="s">
        <v>894</v>
      </c>
      <c r="M34" s="3">
        <v>45248</v>
      </c>
      <c r="N34" s="160"/>
      <c r="O34" s="160"/>
      <c r="P34" s="157">
        <v>44867</v>
      </c>
    </row>
    <row r="35" spans="1:17" ht="25" customHeight="1">
      <c r="A35" s="1">
        <v>34</v>
      </c>
      <c r="B35" s="3">
        <v>44721</v>
      </c>
      <c r="C35" s="1" t="s">
        <v>199</v>
      </c>
      <c r="E35" s="1" t="s">
        <v>200</v>
      </c>
      <c r="F35" s="1" t="s">
        <v>899</v>
      </c>
      <c r="G35" s="7">
        <v>1000000</v>
      </c>
      <c r="H35" s="7">
        <v>1000000</v>
      </c>
      <c r="I35" s="7">
        <v>1000000</v>
      </c>
      <c r="J35" s="7">
        <f>ROUNDDOWN(PRODUCT(テーブル25678910[[#This Row],[市交付確定額]],2)/3,-3)</f>
        <v>666000</v>
      </c>
      <c r="K35" s="7">
        <f>IF(テーブル25678910[[#This Row],[補助金支出]]="確定払","",テーブル25678910[[#This Row],[市交付決定額]]-テーブル25678910[[#This Row],[市交付確定額]])</f>
        <v>0</v>
      </c>
      <c r="L35" s="159" t="s">
        <v>895</v>
      </c>
      <c r="M35" s="3">
        <v>45132</v>
      </c>
      <c r="N35" s="160"/>
      <c r="O35" s="160"/>
      <c r="P35" s="157">
        <v>44922</v>
      </c>
    </row>
    <row r="36" spans="1:17" ht="25" customHeight="1">
      <c r="A36" s="1">
        <v>35</v>
      </c>
      <c r="B36" s="3">
        <v>44721</v>
      </c>
      <c r="C36" s="1" t="s">
        <v>199</v>
      </c>
      <c r="E36" s="1" t="s">
        <v>203</v>
      </c>
      <c r="F36" s="1" t="s">
        <v>899</v>
      </c>
      <c r="G36" s="7">
        <v>1000000</v>
      </c>
      <c r="H36" s="7">
        <v>1000000</v>
      </c>
      <c r="I36" s="7">
        <v>1000000</v>
      </c>
      <c r="J36" s="7">
        <f>ROUNDDOWN(PRODUCT(テーブル25678910[[#This Row],[市交付確定額]],2)/3,-3)</f>
        <v>666000</v>
      </c>
      <c r="K36" s="7">
        <f>IF(テーブル25678910[[#This Row],[補助金支出]]="確定払","",テーブル25678910[[#This Row],[市交付決定額]]-テーブル25678910[[#This Row],[市交付確定額]])</f>
        <v>0</v>
      </c>
      <c r="L36" s="159" t="s">
        <v>895</v>
      </c>
      <c r="M36" s="3">
        <v>45132</v>
      </c>
      <c r="N36" s="160"/>
      <c r="O36" s="160"/>
      <c r="P36" s="157">
        <v>44922</v>
      </c>
    </row>
    <row r="37" spans="1:17" ht="25" customHeight="1">
      <c r="A37" s="1">
        <v>36</v>
      </c>
      <c r="B37" s="3">
        <v>44721</v>
      </c>
      <c r="C37" s="1" t="s">
        <v>199</v>
      </c>
      <c r="E37" s="1" t="s">
        <v>204</v>
      </c>
      <c r="F37" s="1" t="s">
        <v>899</v>
      </c>
      <c r="G37" s="7">
        <v>1000000</v>
      </c>
      <c r="H37" s="7">
        <v>1000000</v>
      </c>
      <c r="I37" s="7">
        <v>1000000</v>
      </c>
      <c r="J37" s="7">
        <f>ROUNDDOWN(PRODUCT(テーブル25678910[[#This Row],[市交付確定額]],2)/3,-3)</f>
        <v>666000</v>
      </c>
      <c r="K37" s="7">
        <f>IF(テーブル25678910[[#This Row],[補助金支出]]="確定払","",テーブル25678910[[#This Row],[市交付決定額]]-テーブル25678910[[#This Row],[市交付確定額]])</f>
        <v>0</v>
      </c>
      <c r="L37" s="159" t="s">
        <v>895</v>
      </c>
      <c r="M37" s="3">
        <v>45132</v>
      </c>
      <c r="N37" s="160"/>
      <c r="O37" s="160"/>
      <c r="P37" s="157">
        <v>44922</v>
      </c>
    </row>
    <row r="38" spans="1:17" ht="25" customHeight="1">
      <c r="A38" s="1">
        <v>37</v>
      </c>
      <c r="B38" s="3">
        <v>44720</v>
      </c>
      <c r="C38" s="1" t="s">
        <v>190</v>
      </c>
      <c r="E38" s="1" t="s">
        <v>191</v>
      </c>
      <c r="F38" s="1" t="s">
        <v>900</v>
      </c>
      <c r="G38" s="7">
        <v>1000000</v>
      </c>
      <c r="H38" s="7">
        <v>1000000</v>
      </c>
      <c r="I38" s="7">
        <v>1000000</v>
      </c>
      <c r="J38" s="7">
        <f>ROUNDDOWN(PRODUCT(テーブル25678910[[#This Row],[市交付確定額]],2)/3,-3)</f>
        <v>666000</v>
      </c>
      <c r="K38" s="7">
        <f>IF(テーブル25678910[[#This Row],[補助金支出]]="確定払","",テーブル25678910[[#This Row],[市交付決定額]]-テーブル25678910[[#This Row],[市交付確定額]])</f>
        <v>0</v>
      </c>
      <c r="L38" s="159" t="s">
        <v>895</v>
      </c>
      <c r="M38" s="3">
        <v>45118</v>
      </c>
      <c r="N38" s="160"/>
      <c r="O38" s="160"/>
      <c r="P38" s="157">
        <v>44816</v>
      </c>
    </row>
    <row r="39" spans="1:17" ht="25" customHeight="1">
      <c r="A39" s="1">
        <v>38</v>
      </c>
      <c r="B39" s="3">
        <v>44720</v>
      </c>
      <c r="C39" s="1" t="s">
        <v>190</v>
      </c>
      <c r="E39" s="1" t="s">
        <v>198</v>
      </c>
      <c r="F39" s="1" t="s">
        <v>900</v>
      </c>
      <c r="G39" s="7">
        <v>507540</v>
      </c>
      <c r="H39" s="7">
        <v>507000</v>
      </c>
      <c r="I39" s="7">
        <v>507000</v>
      </c>
      <c r="J39" s="7">
        <f>ROUNDDOWN(PRODUCT(テーブル25678910[[#This Row],[市交付確定額]],2)/3,-3)</f>
        <v>338000</v>
      </c>
      <c r="K39" s="7">
        <f>IF(テーブル25678910[[#This Row],[補助金支出]]="確定払","",テーブル25678910[[#This Row],[市交付決定額]]-テーブル25678910[[#This Row],[市交付確定額]])</f>
        <v>0</v>
      </c>
      <c r="L39" s="159" t="s">
        <v>895</v>
      </c>
      <c r="M39" s="3">
        <v>45118</v>
      </c>
      <c r="N39" s="160"/>
      <c r="O39" s="160"/>
      <c r="P39" s="157">
        <v>44865</v>
      </c>
    </row>
    <row r="40" spans="1:17" ht="25" customHeight="1">
      <c r="A40" s="1">
        <v>39</v>
      </c>
      <c r="B40" s="3">
        <v>44728</v>
      </c>
      <c r="C40" s="1" t="s">
        <v>185</v>
      </c>
      <c r="E40" s="1" t="s">
        <v>196</v>
      </c>
      <c r="F40" s="1" t="s">
        <v>899</v>
      </c>
      <c r="G40" s="7">
        <v>1000000</v>
      </c>
      <c r="H40" s="7">
        <v>1000000</v>
      </c>
      <c r="I40" s="7">
        <v>1000000</v>
      </c>
      <c r="J40" s="7">
        <f>ROUNDDOWN(PRODUCT(テーブル25678910[[#This Row],[市交付確定額]],2)/3,-3)</f>
        <v>666000</v>
      </c>
      <c r="K40" s="7">
        <f>IF(テーブル25678910[[#This Row],[補助金支出]]="確定払","",テーブル25678910[[#This Row],[市交付決定額]]-テーブル25678910[[#This Row],[市交付確定額]])</f>
        <v>0</v>
      </c>
      <c r="L40" s="159" t="s">
        <v>895</v>
      </c>
      <c r="M40" s="3">
        <v>45118</v>
      </c>
      <c r="N40" s="160"/>
      <c r="O40" s="160"/>
      <c r="P40" s="157">
        <v>44866</v>
      </c>
    </row>
    <row r="41" spans="1:17" ht="25" customHeight="1">
      <c r="A41" s="1">
        <v>40</v>
      </c>
      <c r="B41" s="3">
        <v>44728</v>
      </c>
      <c r="C41" s="1" t="s">
        <v>185</v>
      </c>
      <c r="E41" s="1" t="s">
        <v>258</v>
      </c>
      <c r="F41" s="1" t="s">
        <v>900</v>
      </c>
      <c r="G41" s="7">
        <v>1000000</v>
      </c>
      <c r="H41" s="7">
        <v>1000000</v>
      </c>
      <c r="I41" s="7">
        <v>1000000</v>
      </c>
      <c r="J41" s="7">
        <f>ROUNDDOWN(PRODUCT(テーブル25678910[[#This Row],[市交付確定額]],2)/3,-3)</f>
        <v>666000</v>
      </c>
      <c r="K41" s="7">
        <f>IF(テーブル25678910[[#This Row],[補助金支出]]="確定払","",テーブル25678910[[#This Row],[市交付決定額]]-テーブル25678910[[#This Row],[市交付確定額]])</f>
        <v>0</v>
      </c>
      <c r="L41" s="159" t="s">
        <v>895</v>
      </c>
      <c r="M41" s="3">
        <v>45118</v>
      </c>
      <c r="N41" s="160"/>
      <c r="O41" s="160"/>
      <c r="P41" s="157">
        <v>44866</v>
      </c>
    </row>
    <row r="42" spans="1:17" ht="25" customHeight="1">
      <c r="A42" s="1">
        <v>41</v>
      </c>
      <c r="B42" s="3">
        <v>44728</v>
      </c>
      <c r="C42" s="1" t="s">
        <v>185</v>
      </c>
      <c r="E42" s="1" t="s">
        <v>197</v>
      </c>
      <c r="F42" s="1" t="s">
        <v>900</v>
      </c>
      <c r="G42" s="7">
        <v>1000000</v>
      </c>
      <c r="H42" s="7">
        <v>1000000</v>
      </c>
      <c r="I42" s="7">
        <v>1000000</v>
      </c>
      <c r="J42" s="7">
        <f>ROUNDDOWN(PRODUCT(テーブル25678910[[#This Row],[市交付確定額]],2)/3,-3)</f>
        <v>666000</v>
      </c>
      <c r="K42" s="7">
        <f>IF(テーブル25678910[[#This Row],[補助金支出]]="確定払","",テーブル25678910[[#This Row],[市交付決定額]]-テーブル25678910[[#This Row],[市交付確定額]])</f>
        <v>0</v>
      </c>
      <c r="L42" s="159" t="s">
        <v>895</v>
      </c>
      <c r="M42" s="3">
        <v>45118</v>
      </c>
      <c r="N42" s="160"/>
      <c r="O42" s="160"/>
      <c r="P42" s="157">
        <v>44866</v>
      </c>
    </row>
    <row r="43" spans="1:17" ht="25" customHeight="1">
      <c r="A43" s="1">
        <v>42</v>
      </c>
      <c r="B43" s="3">
        <v>44725</v>
      </c>
      <c r="C43" s="1" t="s">
        <v>113</v>
      </c>
      <c r="E43" s="1" t="s">
        <v>348</v>
      </c>
      <c r="F43" s="1" t="s">
        <v>899</v>
      </c>
      <c r="G43" s="7">
        <v>670450</v>
      </c>
      <c r="H43" s="7">
        <v>670000</v>
      </c>
      <c r="I43" s="7">
        <v>670000</v>
      </c>
      <c r="J43" s="7">
        <f>ROUNDDOWN(PRODUCT(テーブル25678910[[#This Row],[市交付確定額]],2)/3,-3)</f>
        <v>446000</v>
      </c>
      <c r="K43" s="7" t="str">
        <f>IF(テーブル25678910[[#This Row],[補助金支出]]="確定払","",テーブル25678910[[#This Row],[市交付決定額]]-テーブル25678910[[#This Row],[市交付確定額]])</f>
        <v/>
      </c>
      <c r="L43" s="159" t="s">
        <v>894</v>
      </c>
      <c r="M43" s="3">
        <v>45248</v>
      </c>
      <c r="N43" s="160"/>
      <c r="O43" s="160"/>
      <c r="P43" s="157">
        <v>44862</v>
      </c>
    </row>
    <row r="44" spans="1:17" ht="25" customHeight="1">
      <c r="A44" s="1">
        <v>43</v>
      </c>
      <c r="B44" s="3">
        <v>44725</v>
      </c>
      <c r="C44" s="1" t="s">
        <v>113</v>
      </c>
      <c r="E44" s="1" t="s">
        <v>117</v>
      </c>
      <c r="F44" s="1" t="s">
        <v>901</v>
      </c>
      <c r="G44" s="7">
        <v>776820</v>
      </c>
      <c r="H44" s="7">
        <v>776000</v>
      </c>
      <c r="I44" s="7">
        <v>755000</v>
      </c>
      <c r="J44" s="7">
        <f>ROUNDDOWN(PRODUCT(テーブル25678910[[#This Row],[市交付確定額]],2)/3,-3)</f>
        <v>503000</v>
      </c>
      <c r="K44" s="7" t="str">
        <f>IF(テーブル25678910[[#This Row],[補助金支出]]="確定払","",テーブル25678910[[#This Row],[市交付決定額]]-テーブル25678910[[#This Row],[市交付確定額]])</f>
        <v/>
      </c>
      <c r="L44" s="159" t="s">
        <v>894</v>
      </c>
      <c r="M44" s="3">
        <v>45248</v>
      </c>
      <c r="N44" s="160"/>
      <c r="O44" s="160"/>
      <c r="P44" s="157">
        <v>44862</v>
      </c>
    </row>
    <row r="45" spans="1:17" ht="25" customHeight="1">
      <c r="A45" s="1">
        <v>44</v>
      </c>
      <c r="B45" s="3">
        <v>44725</v>
      </c>
      <c r="C45" s="1" t="s">
        <v>113</v>
      </c>
      <c r="E45" s="1" t="s">
        <v>184</v>
      </c>
      <c r="F45" s="1" t="s">
        <v>900</v>
      </c>
      <c r="G45" s="7">
        <v>1000000</v>
      </c>
      <c r="H45" s="7">
        <v>1000000</v>
      </c>
      <c r="I45" s="7">
        <v>1000000</v>
      </c>
      <c r="J45" s="7">
        <f>ROUNDDOWN(PRODUCT(テーブル25678910[[#This Row],[市交付確定額]],2)/3,-3)</f>
        <v>666000</v>
      </c>
      <c r="K45" s="7" t="str">
        <f>IF(テーブル25678910[[#This Row],[補助金支出]]="確定払","",テーブル25678910[[#This Row],[市交付決定額]]-テーブル25678910[[#This Row],[市交付確定額]])</f>
        <v/>
      </c>
      <c r="L45" s="159" t="s">
        <v>894</v>
      </c>
      <c r="M45" s="3">
        <v>45248</v>
      </c>
      <c r="N45" s="160"/>
      <c r="O45" s="160"/>
      <c r="P45" s="157">
        <v>44862</v>
      </c>
    </row>
    <row r="46" spans="1:17" ht="25" customHeight="1">
      <c r="A46" s="1">
        <v>45</v>
      </c>
      <c r="B46" s="3">
        <v>44725</v>
      </c>
      <c r="C46" s="1" t="s">
        <v>181</v>
      </c>
      <c r="E46" s="1" t="s">
        <v>182</v>
      </c>
      <c r="F46" s="1" t="s">
        <v>900</v>
      </c>
      <c r="G46" s="7">
        <v>747130</v>
      </c>
      <c r="H46" s="7">
        <v>747000</v>
      </c>
      <c r="I46" s="7">
        <v>747000</v>
      </c>
      <c r="J46" s="7">
        <f>ROUNDDOWN(PRODUCT(テーブル25678910[[#This Row],[市交付確定額]],2)/3,-3)</f>
        <v>498000</v>
      </c>
      <c r="K46" s="7" t="str">
        <f>IF(テーブル25678910[[#This Row],[補助金支出]]="確定払","",テーブル25678910[[#This Row],[市交付決定額]]-テーブル25678910[[#This Row],[市交付確定額]])</f>
        <v/>
      </c>
      <c r="L46" s="159" t="s">
        <v>894</v>
      </c>
      <c r="M46" s="3">
        <v>45248</v>
      </c>
      <c r="N46" s="160"/>
      <c r="O46" s="160"/>
      <c r="P46" s="157">
        <v>44860</v>
      </c>
    </row>
    <row r="47" spans="1:17" ht="25" customHeight="1">
      <c r="A47" s="1">
        <v>46</v>
      </c>
      <c r="B47" s="3">
        <v>44749</v>
      </c>
      <c r="C47" s="1" t="s">
        <v>903</v>
      </c>
      <c r="E47" s="1" t="s">
        <v>202</v>
      </c>
      <c r="F47" s="1" t="s">
        <v>900</v>
      </c>
      <c r="G47" s="7">
        <v>658000</v>
      </c>
      <c r="H47" s="7">
        <v>658000</v>
      </c>
      <c r="I47" s="7">
        <v>658000</v>
      </c>
      <c r="J47" s="7">
        <f>ROUNDDOWN(PRODUCT(テーブル25678910[[#This Row],[市交付確定額]],2)/3,-3)</f>
        <v>438000</v>
      </c>
      <c r="K47" s="7">
        <f>IF(テーブル25678910[[#This Row],[補助金支出]]="確定払","",テーブル25678910[[#This Row],[市交付決定額]]-テーブル25678910[[#This Row],[市交付確定額]])</f>
        <v>0</v>
      </c>
      <c r="L47" s="159" t="s">
        <v>895</v>
      </c>
      <c r="M47" s="3">
        <v>45141</v>
      </c>
      <c r="N47" s="160"/>
      <c r="O47" s="160"/>
      <c r="P47" s="157">
        <v>44861</v>
      </c>
    </row>
    <row r="48" spans="1:17" s="7" customFormat="1" ht="30" customHeight="1">
      <c r="H48" s="7">
        <f>SUBTOTAL(109,テーブル25678910[市交付決定額])</f>
        <v>32379000</v>
      </c>
      <c r="I48" s="7">
        <f>SUBTOTAL(109,テーブル25678910[市交付確定額])</f>
        <v>32153000</v>
      </c>
      <c r="J48" s="7">
        <f>SUBTOTAL(109,テーブル25678910[国庫補助額])</f>
        <v>21414000</v>
      </c>
      <c r="K48" s="7">
        <f>SUBTOTAL(109,テーブル25678910[補助金返還額])</f>
        <v>205000</v>
      </c>
      <c r="N48" s="161"/>
      <c r="O48" s="161"/>
    </row>
  </sheetData>
  <phoneticPr fontId="1"/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&amp;C&amp;"BIZ UDPゴシック,標準"&amp;16令和4年度障害福祉分野のICT導入モデル事業　対象事業所一覧</oddHead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T37"/>
  <sheetViews>
    <sheetView showGridLines="0" zoomScale="60" zoomScaleNormal="60" zoomScaleSheetLayoutView="70" workbookViewId="0">
      <pane ySplit="1" topLeftCell="A2" activePane="bottomLeft" state="frozen"/>
      <selection activeCell="AU25" sqref="AU25"/>
      <selection pane="bottomLeft" activeCell="X7" sqref="X7"/>
    </sheetView>
  </sheetViews>
  <sheetFormatPr defaultColWidth="9" defaultRowHeight="13" outlineLevelCol="1"/>
  <cols>
    <col min="1" max="1" width="6.90625" style="21" customWidth="1"/>
    <col min="2" max="2" width="12.453125" style="21" hidden="1" customWidth="1" outlineLevel="1"/>
    <col min="3" max="3" width="14.36328125" style="20" customWidth="1" collapsed="1"/>
    <col min="4" max="4" width="49.90625" style="20" customWidth="1"/>
    <col min="5" max="5" width="23.26953125" style="20" customWidth="1" outlineLevel="1"/>
    <col min="6" max="6" width="48.90625" style="20" hidden="1" customWidth="1" outlineLevel="1"/>
    <col min="7" max="7" width="40.7265625" style="22" customWidth="1" collapsed="1"/>
    <col min="8" max="8" width="43" style="20" customWidth="1"/>
    <col min="9" max="9" width="29.36328125" style="20" customWidth="1" outlineLevel="1"/>
    <col min="10" max="12" width="35.7265625" style="20" hidden="1" customWidth="1" outlineLevel="1"/>
    <col min="13" max="13" width="24.08984375" style="20" customWidth="1" collapsed="1"/>
    <col min="14" max="14" width="23.90625" style="20" customWidth="1"/>
    <col min="15" max="15" width="35.7265625" style="20" hidden="1" customWidth="1"/>
    <col min="16" max="16" width="50" style="20" hidden="1" customWidth="1" outlineLevel="1"/>
    <col min="17" max="17" width="51" style="20" hidden="1" customWidth="1" outlineLevel="1" collapsed="1"/>
    <col min="18" max="18" width="22.36328125" style="20" customWidth="1" outlineLevel="1"/>
    <col min="19" max="19" width="20.90625" style="20" customWidth="1"/>
    <col min="20" max="20" width="10.6328125" style="20" customWidth="1"/>
    <col min="21" max="16384" width="9" style="20"/>
  </cols>
  <sheetData>
    <row r="1" spans="1:20" s="19" customFormat="1" ht="46.5" customHeight="1">
      <c r="A1" s="17" t="s">
        <v>257</v>
      </c>
      <c r="B1" s="17" t="s">
        <v>644</v>
      </c>
      <c r="C1" s="17" t="s">
        <v>645</v>
      </c>
      <c r="D1" s="17" t="s">
        <v>173</v>
      </c>
      <c r="E1" s="17" t="s">
        <v>584</v>
      </c>
      <c r="F1" s="17" t="s">
        <v>621</v>
      </c>
      <c r="G1" s="17" t="s">
        <v>620</v>
      </c>
      <c r="H1" s="17" t="s">
        <v>174</v>
      </c>
      <c r="I1" s="17" t="s">
        <v>175</v>
      </c>
      <c r="J1" s="17" t="s">
        <v>640</v>
      </c>
      <c r="K1" s="78" t="s">
        <v>871</v>
      </c>
      <c r="L1" s="78" t="s">
        <v>637</v>
      </c>
      <c r="M1" s="78" t="s">
        <v>873</v>
      </c>
      <c r="N1" s="78" t="s">
        <v>874</v>
      </c>
      <c r="O1" s="78" t="s">
        <v>872</v>
      </c>
      <c r="P1" s="78" t="s">
        <v>638</v>
      </c>
      <c r="Q1" s="17" t="s">
        <v>179</v>
      </c>
      <c r="R1" s="17" t="s">
        <v>876</v>
      </c>
      <c r="S1" s="17" t="s">
        <v>875</v>
      </c>
      <c r="T1" s="78" t="s">
        <v>892</v>
      </c>
    </row>
    <row r="2" spans="1:20" ht="30" customHeight="1">
      <c r="A2" s="84">
        <v>1</v>
      </c>
      <c r="B2" s="24"/>
      <c r="C2" s="82">
        <v>44722</v>
      </c>
      <c r="D2" s="120" t="s">
        <v>669</v>
      </c>
      <c r="E2" s="120" t="s">
        <v>673</v>
      </c>
      <c r="F2" s="120"/>
      <c r="G2" s="26" t="s">
        <v>635</v>
      </c>
      <c r="H2" s="121" t="s">
        <v>677</v>
      </c>
      <c r="I2" s="120" t="s">
        <v>675</v>
      </c>
      <c r="J2" s="29">
        <v>666000</v>
      </c>
      <c r="K2" s="29">
        <v>1000000</v>
      </c>
      <c r="L2" s="29">
        <v>1000000</v>
      </c>
      <c r="M2" s="125">
        <f>ROUNDDOWN(テーブル256789[[#This Row],[申請額]],-3)</f>
        <v>1000000</v>
      </c>
      <c r="N2" s="125">
        <v>1000000</v>
      </c>
      <c r="O2" s="125">
        <f>ROUNDDOWN(PRODUCT(テーブル256789[[#This Row],[市交付決定額]],2/3),-3)</f>
        <v>666000</v>
      </c>
      <c r="P2" s="29"/>
      <c r="Q2" s="120"/>
      <c r="R2" s="155">
        <f>テーブル256789[[#This Row],[市交付決定額]]-テーブル256789[[#This Row],[市交付確定額]]</f>
        <v>0</v>
      </c>
      <c r="S2" s="154" t="s">
        <v>885</v>
      </c>
      <c r="T2" s="156">
        <v>1361</v>
      </c>
    </row>
    <row r="3" spans="1:20" ht="30" customHeight="1">
      <c r="A3" s="84">
        <v>2</v>
      </c>
      <c r="B3" s="24"/>
      <c r="C3" s="82">
        <v>44725</v>
      </c>
      <c r="D3" s="120" t="s">
        <v>682</v>
      </c>
      <c r="E3" s="120" t="s">
        <v>686</v>
      </c>
      <c r="F3" s="120"/>
      <c r="G3" s="120" t="s">
        <v>404</v>
      </c>
      <c r="H3" s="121" t="s">
        <v>206</v>
      </c>
      <c r="I3" s="120" t="s">
        <v>688</v>
      </c>
      <c r="J3" s="29">
        <v>343000</v>
      </c>
      <c r="K3" s="29">
        <v>515795</v>
      </c>
      <c r="L3" s="29">
        <v>155802</v>
      </c>
      <c r="M3" s="125">
        <f>ROUNDDOWN(テーブル256789[[#This Row],[申請額]],-3)</f>
        <v>155000</v>
      </c>
      <c r="N3" s="125">
        <v>151000</v>
      </c>
      <c r="O3" s="125">
        <f>ROUNDDOWN(PRODUCT(テーブル256789[[#This Row],[市交付決定額]],2/3),-3)</f>
        <v>103000</v>
      </c>
      <c r="P3" s="29"/>
      <c r="Q3" s="120"/>
      <c r="R3" s="155">
        <f>テーブル256789[[#This Row],[市交付決定額]]-テーブル256789[[#This Row],[市交付確定額]]</f>
        <v>4000</v>
      </c>
      <c r="S3" s="154" t="s">
        <v>880</v>
      </c>
      <c r="T3" s="156">
        <v>1362</v>
      </c>
    </row>
    <row r="4" spans="1:20" ht="30" customHeight="1">
      <c r="A4" s="84">
        <v>3</v>
      </c>
      <c r="B4" s="24"/>
      <c r="C4" s="82">
        <v>44761</v>
      </c>
      <c r="D4" s="120" t="s">
        <v>682</v>
      </c>
      <c r="E4" s="120" t="s">
        <v>686</v>
      </c>
      <c r="F4" s="120"/>
      <c r="G4" s="120" t="s">
        <v>404</v>
      </c>
      <c r="H4" s="121" t="s">
        <v>210</v>
      </c>
      <c r="I4" s="120" t="s">
        <v>688</v>
      </c>
      <c r="J4" s="29">
        <v>666000</v>
      </c>
      <c r="K4" s="29">
        <v>1000000</v>
      </c>
      <c r="L4" s="29">
        <v>461119</v>
      </c>
      <c r="M4" s="125">
        <v>463000</v>
      </c>
      <c r="N4" s="125">
        <v>463000</v>
      </c>
      <c r="O4" s="125">
        <f>ROUNDDOWN(PRODUCT(テーブル256789[[#This Row],[市交付決定額]],2/3),-3)</f>
        <v>308000</v>
      </c>
      <c r="P4" s="29"/>
      <c r="Q4" s="120"/>
      <c r="R4" s="155">
        <f>テーブル256789[[#This Row],[市交付決定額]]-テーブル256789[[#This Row],[市交付確定額]]</f>
        <v>0</v>
      </c>
      <c r="S4" s="154" t="s">
        <v>889</v>
      </c>
      <c r="T4" s="156">
        <v>1363</v>
      </c>
    </row>
    <row r="5" spans="1:20" ht="30" customHeight="1">
      <c r="A5" s="84">
        <v>4</v>
      </c>
      <c r="B5" s="24"/>
      <c r="C5" s="82">
        <v>44726</v>
      </c>
      <c r="D5" s="120" t="s">
        <v>682</v>
      </c>
      <c r="E5" s="120" t="s">
        <v>686</v>
      </c>
      <c r="F5" s="120"/>
      <c r="G5" s="120" t="s">
        <v>404</v>
      </c>
      <c r="H5" s="121" t="s">
        <v>697</v>
      </c>
      <c r="I5" s="120" t="s">
        <v>695</v>
      </c>
      <c r="J5" s="29">
        <v>666000</v>
      </c>
      <c r="K5" s="29">
        <v>1000000</v>
      </c>
      <c r="L5" s="29">
        <v>1000000</v>
      </c>
      <c r="M5" s="125">
        <f>ROUNDDOWN(テーブル256789[[#This Row],[申請額]],-3)</f>
        <v>1000000</v>
      </c>
      <c r="N5" s="125">
        <v>971000</v>
      </c>
      <c r="O5" s="125">
        <f>ROUNDDOWN(PRODUCT(テーブル256789[[#This Row],[市交付決定額]],2/3),-3)</f>
        <v>666000</v>
      </c>
      <c r="P5" s="29"/>
      <c r="Q5" s="120"/>
      <c r="R5" s="155">
        <f>テーブル256789[[#This Row],[市交付決定額]]-テーブル256789[[#This Row],[市交付確定額]]</f>
        <v>29000</v>
      </c>
      <c r="S5" s="154" t="s">
        <v>880</v>
      </c>
      <c r="T5" s="156">
        <v>1364</v>
      </c>
    </row>
    <row r="6" spans="1:20" ht="30" customHeight="1">
      <c r="A6" s="84">
        <v>5</v>
      </c>
      <c r="B6" s="24"/>
      <c r="C6" s="82">
        <v>44725</v>
      </c>
      <c r="D6" s="120" t="s">
        <v>682</v>
      </c>
      <c r="E6" s="120" t="s">
        <v>686</v>
      </c>
      <c r="F6" s="120"/>
      <c r="G6" s="120" t="s">
        <v>404</v>
      </c>
      <c r="H6" s="121" t="s">
        <v>701</v>
      </c>
      <c r="I6" s="120" t="s">
        <v>695</v>
      </c>
      <c r="J6" s="29">
        <v>588000</v>
      </c>
      <c r="K6" s="29">
        <v>882217</v>
      </c>
      <c r="L6" s="29">
        <v>637422</v>
      </c>
      <c r="M6" s="125">
        <f>ROUNDDOWN(テーブル256789[[#This Row],[申請額]],-3)</f>
        <v>637000</v>
      </c>
      <c r="N6" s="125">
        <v>635000</v>
      </c>
      <c r="O6" s="125">
        <f>ROUNDDOWN(PRODUCT(テーブル256789[[#This Row],[市交付決定額]],2/3),-3)</f>
        <v>424000</v>
      </c>
      <c r="P6" s="29"/>
      <c r="Q6" s="120"/>
      <c r="R6" s="155">
        <f>テーブル256789[[#This Row],[市交付決定額]]-テーブル256789[[#This Row],[市交付確定額]]</f>
        <v>2000</v>
      </c>
      <c r="S6" s="154" t="s">
        <v>880</v>
      </c>
      <c r="T6" s="156">
        <v>1365</v>
      </c>
    </row>
    <row r="7" spans="1:20" ht="30" customHeight="1">
      <c r="A7" s="84">
        <v>6</v>
      </c>
      <c r="B7" s="24"/>
      <c r="C7" s="82">
        <v>44725</v>
      </c>
      <c r="D7" s="120" t="s">
        <v>682</v>
      </c>
      <c r="E7" s="120" t="s">
        <v>686</v>
      </c>
      <c r="F7" s="120"/>
      <c r="G7" s="120" t="s">
        <v>404</v>
      </c>
      <c r="H7" s="121" t="s">
        <v>704</v>
      </c>
      <c r="I7" s="120" t="s">
        <v>695</v>
      </c>
      <c r="J7" s="29">
        <v>637000</v>
      </c>
      <c r="K7" s="29">
        <v>956115</v>
      </c>
      <c r="L7" s="29">
        <v>643286</v>
      </c>
      <c r="M7" s="125">
        <f>ROUNDDOWN(テーブル256789[[#This Row],[申請額]],-3)</f>
        <v>643000</v>
      </c>
      <c r="N7" s="125">
        <v>618000</v>
      </c>
      <c r="O7" s="125">
        <f>ROUNDDOWN(PRODUCT(テーブル256789[[#This Row],[市交付決定額]],2/3),-3)</f>
        <v>428000</v>
      </c>
      <c r="P7" s="29"/>
      <c r="Q7" s="120"/>
      <c r="R7" s="155">
        <f>テーブル256789[[#This Row],[市交付決定額]]-テーブル256789[[#This Row],[市交付確定額]]</f>
        <v>25000</v>
      </c>
      <c r="S7" s="154" t="s">
        <v>880</v>
      </c>
      <c r="T7" s="156">
        <v>1366</v>
      </c>
    </row>
    <row r="8" spans="1:20" ht="30" customHeight="1">
      <c r="A8" s="84">
        <v>7</v>
      </c>
      <c r="B8" s="24"/>
      <c r="C8" s="82">
        <v>44722</v>
      </c>
      <c r="D8" s="120" t="s">
        <v>682</v>
      </c>
      <c r="E8" s="120" t="s">
        <v>686</v>
      </c>
      <c r="F8" s="120"/>
      <c r="G8" s="120" t="s">
        <v>404</v>
      </c>
      <c r="H8" s="121" t="s">
        <v>707</v>
      </c>
      <c r="I8" s="120" t="s">
        <v>695</v>
      </c>
      <c r="J8" s="29">
        <v>666000</v>
      </c>
      <c r="K8" s="29">
        <v>1000000</v>
      </c>
      <c r="L8" s="29">
        <v>918308</v>
      </c>
      <c r="M8" s="125">
        <f>ROUNDDOWN(テーブル256789[[#This Row],[申請額]],-3)</f>
        <v>918000</v>
      </c>
      <c r="N8" s="125">
        <v>911000</v>
      </c>
      <c r="O8" s="125">
        <f>ROUNDDOWN(PRODUCT(テーブル256789[[#This Row],[市交付決定額]],2/3),-3)</f>
        <v>612000</v>
      </c>
      <c r="P8" s="29"/>
      <c r="Q8" s="120"/>
      <c r="R8" s="155">
        <f>テーブル256789[[#This Row],[市交付決定額]]-テーブル256789[[#This Row],[市交付確定額]]</f>
        <v>7000</v>
      </c>
      <c r="S8" s="154" t="s">
        <v>880</v>
      </c>
      <c r="T8" s="156">
        <v>1367</v>
      </c>
    </row>
    <row r="9" spans="1:20" ht="30" customHeight="1">
      <c r="A9" s="84">
        <v>8</v>
      </c>
      <c r="B9" s="24"/>
      <c r="C9" s="82">
        <v>44726</v>
      </c>
      <c r="D9" s="120" t="s">
        <v>682</v>
      </c>
      <c r="E9" s="120" t="s">
        <v>686</v>
      </c>
      <c r="F9" s="120"/>
      <c r="G9" s="120" t="s">
        <v>404</v>
      </c>
      <c r="H9" s="121" t="s">
        <v>712</v>
      </c>
      <c r="I9" s="120" t="s">
        <v>710</v>
      </c>
      <c r="J9" s="29">
        <v>615000</v>
      </c>
      <c r="K9" s="29">
        <v>922843</v>
      </c>
      <c r="L9" s="29">
        <v>858045</v>
      </c>
      <c r="M9" s="125">
        <v>922000</v>
      </c>
      <c r="N9" s="125">
        <v>922000</v>
      </c>
      <c r="O9" s="125">
        <f>ROUNDDOWN(PRODUCT(テーブル256789[[#This Row],[市交付決定額]],2/3),-3)</f>
        <v>614000</v>
      </c>
      <c r="P9" s="29"/>
      <c r="Q9" s="120"/>
      <c r="R9" s="155">
        <f>テーブル256789[[#This Row],[市交付決定額]]-テーブル256789[[#This Row],[市交付確定額]]</f>
        <v>0</v>
      </c>
      <c r="S9" s="154" t="s">
        <v>889</v>
      </c>
      <c r="T9" s="156">
        <v>1368</v>
      </c>
    </row>
    <row r="10" spans="1:20" ht="30" customHeight="1">
      <c r="A10" s="84">
        <v>9</v>
      </c>
      <c r="B10" s="24"/>
      <c r="C10" s="82">
        <v>44761</v>
      </c>
      <c r="D10" s="120" t="s">
        <v>715</v>
      </c>
      <c r="E10" s="120" t="s">
        <v>686</v>
      </c>
      <c r="F10" s="120"/>
      <c r="G10" s="120" t="s">
        <v>404</v>
      </c>
      <c r="H10" s="121" t="s">
        <v>719</v>
      </c>
      <c r="I10" s="120" t="s">
        <v>717</v>
      </c>
      <c r="J10" s="29">
        <v>666000</v>
      </c>
      <c r="K10" s="29">
        <v>1000000</v>
      </c>
      <c r="L10" s="29">
        <v>554601</v>
      </c>
      <c r="M10" s="125">
        <f>ROUNDDOWN(テーブル256789[[#This Row],[申請額]],-3)</f>
        <v>554000</v>
      </c>
      <c r="N10" s="125">
        <v>551000</v>
      </c>
      <c r="O10" s="125">
        <f>ROUNDDOWN(PRODUCT(テーブル256789[[#This Row],[市交付決定額]],2/3),-3)</f>
        <v>369000</v>
      </c>
      <c r="P10" s="29"/>
      <c r="Q10" s="120"/>
      <c r="R10" s="155">
        <f>テーブル256789[[#This Row],[市交付決定額]]-テーブル256789[[#This Row],[市交付確定額]]</f>
        <v>3000</v>
      </c>
      <c r="S10" s="154" t="s">
        <v>880</v>
      </c>
      <c r="T10" s="156">
        <v>1369</v>
      </c>
    </row>
    <row r="11" spans="1:20" ht="30" customHeight="1">
      <c r="A11" s="84">
        <v>10</v>
      </c>
      <c r="B11" s="24"/>
      <c r="C11" s="82">
        <v>44726</v>
      </c>
      <c r="D11" s="120" t="s">
        <v>723</v>
      </c>
      <c r="E11" s="120" t="s">
        <v>727</v>
      </c>
      <c r="F11" s="120"/>
      <c r="G11" s="120" t="s">
        <v>445</v>
      </c>
      <c r="H11" s="121" t="s">
        <v>234</v>
      </c>
      <c r="I11" s="120" t="s">
        <v>695</v>
      </c>
      <c r="J11" s="29">
        <v>666000</v>
      </c>
      <c r="K11" s="29">
        <v>1000000</v>
      </c>
      <c r="L11" s="29">
        <v>1000000</v>
      </c>
      <c r="M11" s="125">
        <f>ROUNDDOWN(テーブル256789[[#This Row],[申請額]],-3)</f>
        <v>1000000</v>
      </c>
      <c r="N11" s="125">
        <v>1000000</v>
      </c>
      <c r="O11" s="125">
        <f>ROUNDDOWN(PRODUCT(テーブル256789[[#This Row],[市交付決定額]],2/3),-3)</f>
        <v>666000</v>
      </c>
      <c r="P11" s="29"/>
      <c r="Q11" s="120"/>
      <c r="R11" s="155">
        <f>テーブル256789[[#This Row],[市交付決定額]]-テーブル256789[[#This Row],[市交付確定額]]</f>
        <v>0</v>
      </c>
      <c r="S11" s="154" t="s">
        <v>877</v>
      </c>
      <c r="T11" s="156">
        <v>1370</v>
      </c>
    </row>
    <row r="12" spans="1:20" ht="30" customHeight="1">
      <c r="A12" s="84">
        <v>11</v>
      </c>
      <c r="B12" s="24"/>
      <c r="C12" s="82">
        <v>44749</v>
      </c>
      <c r="D12" s="120" t="s">
        <v>732</v>
      </c>
      <c r="E12" s="120" t="s">
        <v>736</v>
      </c>
      <c r="F12" s="120"/>
      <c r="G12" s="120" t="s">
        <v>364</v>
      </c>
      <c r="H12" s="121" t="s">
        <v>850</v>
      </c>
      <c r="I12" s="120" t="s">
        <v>717</v>
      </c>
      <c r="J12" s="29">
        <v>666000</v>
      </c>
      <c r="K12" s="29">
        <v>1000000</v>
      </c>
      <c r="L12" s="29">
        <v>434000</v>
      </c>
      <c r="M12" s="125">
        <f>ROUNDDOWN(テーブル256789[[#This Row],[申請額]],-3)</f>
        <v>434000</v>
      </c>
      <c r="N12" s="125">
        <v>434000</v>
      </c>
      <c r="O12" s="125">
        <f>ROUNDDOWN(PRODUCT(テーブル256789[[#This Row],[市交付決定額]],2/3),-3)</f>
        <v>289000</v>
      </c>
      <c r="P12" s="29"/>
      <c r="Q12" s="120"/>
      <c r="R12" s="155">
        <f>テーブル256789[[#This Row],[市交付決定額]]-テーブル256789[[#This Row],[市交付確定額]]</f>
        <v>0</v>
      </c>
      <c r="S12" s="154" t="s">
        <v>881</v>
      </c>
      <c r="T12" s="156">
        <v>1371</v>
      </c>
    </row>
    <row r="13" spans="1:20" ht="30" customHeight="1">
      <c r="A13" s="84">
        <v>12</v>
      </c>
      <c r="B13" s="24"/>
      <c r="C13" s="82">
        <v>44749</v>
      </c>
      <c r="D13" s="120" t="s">
        <v>732</v>
      </c>
      <c r="E13" s="120" t="s">
        <v>740</v>
      </c>
      <c r="F13" s="120"/>
      <c r="G13" s="120" t="s">
        <v>364</v>
      </c>
      <c r="H13" s="121" t="s">
        <v>742</v>
      </c>
      <c r="I13" s="120" t="s">
        <v>710</v>
      </c>
      <c r="J13" s="29">
        <v>666000</v>
      </c>
      <c r="K13" s="29">
        <v>1000000</v>
      </c>
      <c r="L13" s="29">
        <v>644000</v>
      </c>
      <c r="M13" s="125">
        <f>ROUNDDOWN(テーブル256789[[#This Row],[申請額]],-3)</f>
        <v>644000</v>
      </c>
      <c r="N13" s="125">
        <v>644000</v>
      </c>
      <c r="O13" s="125">
        <f>ROUNDDOWN(PRODUCT(テーブル256789[[#This Row],[市交付決定額]],2/3),-3)</f>
        <v>429000</v>
      </c>
      <c r="P13" s="29"/>
      <c r="Q13" s="120"/>
      <c r="R13" s="155">
        <f>テーブル256789[[#This Row],[市交付決定額]]-テーブル256789[[#This Row],[市交付確定額]]</f>
        <v>0</v>
      </c>
      <c r="S13" s="154" t="s">
        <v>879</v>
      </c>
      <c r="T13" s="156">
        <v>1372</v>
      </c>
    </row>
    <row r="14" spans="1:20" ht="30" customHeight="1">
      <c r="A14" s="84">
        <v>13</v>
      </c>
      <c r="B14" s="24"/>
      <c r="C14" s="82">
        <v>44722</v>
      </c>
      <c r="D14" s="120" t="s">
        <v>745</v>
      </c>
      <c r="E14" s="120" t="s">
        <v>749</v>
      </c>
      <c r="F14" s="120"/>
      <c r="G14" s="120" t="s">
        <v>382</v>
      </c>
      <c r="H14" s="121" t="s">
        <v>753</v>
      </c>
      <c r="I14" s="120" t="s">
        <v>751</v>
      </c>
      <c r="J14" s="29">
        <v>235000</v>
      </c>
      <c r="K14" s="29">
        <v>353088</v>
      </c>
      <c r="L14" s="29">
        <v>117696</v>
      </c>
      <c r="M14" s="125">
        <f>ROUNDDOWN(テーブル256789[[#This Row],[申請額]],-3)</f>
        <v>117000</v>
      </c>
      <c r="N14" s="125">
        <v>117000</v>
      </c>
      <c r="O14" s="125">
        <f>ROUNDDOWN(PRODUCT(テーブル256789[[#This Row],[市交付決定額]],2/3),-3)</f>
        <v>78000</v>
      </c>
      <c r="P14" s="29"/>
      <c r="Q14" s="120"/>
      <c r="R14" s="155">
        <f>テーブル256789[[#This Row],[市交付決定額]]-テーブル256789[[#This Row],[市交付確定額]]</f>
        <v>0</v>
      </c>
      <c r="S14" s="154" t="s">
        <v>881</v>
      </c>
      <c r="T14" s="156">
        <v>1373</v>
      </c>
    </row>
    <row r="15" spans="1:20" ht="30" customHeight="1">
      <c r="A15" s="84">
        <v>14</v>
      </c>
      <c r="B15" s="24"/>
      <c r="C15" s="82">
        <v>44722</v>
      </c>
      <c r="D15" s="120" t="s">
        <v>756</v>
      </c>
      <c r="E15" s="120" t="s">
        <v>760</v>
      </c>
      <c r="F15" s="120"/>
      <c r="G15" s="120" t="s">
        <v>511</v>
      </c>
      <c r="H15" s="121" t="s">
        <v>248</v>
      </c>
      <c r="I15" s="120" t="s">
        <v>695</v>
      </c>
      <c r="J15" s="29">
        <v>666000</v>
      </c>
      <c r="K15" s="29">
        <v>1000000</v>
      </c>
      <c r="L15" s="29">
        <v>1000000</v>
      </c>
      <c r="M15" s="125">
        <f>ROUNDDOWN(テーブル256789[[#This Row],[申請額]],-3)</f>
        <v>1000000</v>
      </c>
      <c r="N15" s="125">
        <v>1000000</v>
      </c>
      <c r="O15" s="125">
        <f>ROUNDDOWN(PRODUCT(テーブル256789[[#This Row],[市交付決定額]],2/3),-3)</f>
        <v>666000</v>
      </c>
      <c r="P15" s="29"/>
      <c r="Q15" s="120"/>
      <c r="R15" s="155">
        <f>テーブル256789[[#This Row],[市交付決定額]]-テーブル256789[[#This Row],[市交付確定額]]</f>
        <v>0</v>
      </c>
      <c r="S15" s="154" t="s">
        <v>879</v>
      </c>
      <c r="T15" s="156">
        <v>1374</v>
      </c>
    </row>
    <row r="16" spans="1:20" ht="30" customHeight="1">
      <c r="A16" s="84">
        <v>15</v>
      </c>
      <c r="B16" s="24"/>
      <c r="C16" s="82">
        <v>44725</v>
      </c>
      <c r="D16" s="120" t="s">
        <v>764</v>
      </c>
      <c r="E16" s="120" t="s">
        <v>768</v>
      </c>
      <c r="F16" s="120"/>
      <c r="G16" s="26" t="s">
        <v>426</v>
      </c>
      <c r="H16" s="121" t="s">
        <v>240</v>
      </c>
      <c r="I16" s="120" t="s">
        <v>770</v>
      </c>
      <c r="J16" s="29">
        <v>122000</v>
      </c>
      <c r="K16" s="29">
        <v>184300</v>
      </c>
      <c r="L16" s="29">
        <v>184300</v>
      </c>
      <c r="M16" s="125">
        <f>ROUNDDOWN(テーブル256789[[#This Row],[申請額]],-3)</f>
        <v>184000</v>
      </c>
      <c r="N16" s="125">
        <v>184000</v>
      </c>
      <c r="O16" s="125">
        <f>ROUNDDOWN(PRODUCT(テーブル256789[[#This Row],[市交付決定額]],2/3),-3)</f>
        <v>122000</v>
      </c>
      <c r="P16" s="29"/>
      <c r="Q16" s="120"/>
      <c r="R16" s="155">
        <f>テーブル256789[[#This Row],[市交付決定額]]-テーブル256789[[#This Row],[市交付確定額]]</f>
        <v>0</v>
      </c>
      <c r="S16" s="154" t="s">
        <v>887</v>
      </c>
      <c r="T16" s="156">
        <v>1375</v>
      </c>
    </row>
    <row r="17" spans="1:20" ht="30" customHeight="1">
      <c r="A17" s="84">
        <v>16</v>
      </c>
      <c r="B17" s="24"/>
      <c r="C17" s="82">
        <v>44725</v>
      </c>
      <c r="D17" s="120" t="s">
        <v>849</v>
      </c>
      <c r="E17" s="120" t="s">
        <v>768</v>
      </c>
      <c r="F17" s="120"/>
      <c r="G17" s="120" t="s">
        <v>426</v>
      </c>
      <c r="H17" s="121" t="s">
        <v>242</v>
      </c>
      <c r="I17" s="120" t="s">
        <v>717</v>
      </c>
      <c r="J17" s="29">
        <v>25000</v>
      </c>
      <c r="K17" s="29">
        <v>37960</v>
      </c>
      <c r="L17" s="29">
        <v>37960</v>
      </c>
      <c r="M17" s="125">
        <f>ROUNDDOWN(テーブル256789[[#This Row],[申請額]],-3)</f>
        <v>37000</v>
      </c>
      <c r="N17" s="125">
        <v>37000</v>
      </c>
      <c r="O17" s="125">
        <f>ROUNDDOWN(PRODUCT(テーブル256789[[#This Row],[市交付決定額]],2/3),-3)</f>
        <v>24000</v>
      </c>
      <c r="P17" s="29"/>
      <c r="Q17" s="120"/>
      <c r="R17" s="155">
        <f>テーブル256789[[#This Row],[市交付決定額]]-テーブル256789[[#This Row],[市交付確定額]]</f>
        <v>0</v>
      </c>
      <c r="S17" s="154" t="s">
        <v>882</v>
      </c>
      <c r="T17" s="156">
        <v>1376</v>
      </c>
    </row>
    <row r="18" spans="1:20" ht="30" customHeight="1">
      <c r="A18" s="84">
        <v>17</v>
      </c>
      <c r="B18" s="24"/>
      <c r="C18" s="82">
        <v>44725</v>
      </c>
      <c r="D18" s="120" t="s">
        <v>764</v>
      </c>
      <c r="E18" s="120" t="s">
        <v>768</v>
      </c>
      <c r="F18" s="120"/>
      <c r="G18" s="120" t="s">
        <v>426</v>
      </c>
      <c r="H18" s="121" t="s">
        <v>779</v>
      </c>
      <c r="I18" s="120" t="s">
        <v>710</v>
      </c>
      <c r="J18" s="29">
        <v>50000</v>
      </c>
      <c r="K18" s="29">
        <v>75920</v>
      </c>
      <c r="L18" s="29">
        <v>75920</v>
      </c>
      <c r="M18" s="125">
        <f>ROUNDDOWN(テーブル256789[[#This Row],[申請額]],-3)</f>
        <v>75000</v>
      </c>
      <c r="N18" s="125">
        <v>75000</v>
      </c>
      <c r="O18" s="125">
        <f>ROUNDDOWN(PRODUCT(テーブル256789[[#This Row],[市交付決定額]],2/3),-3)</f>
        <v>50000</v>
      </c>
      <c r="P18" s="29"/>
      <c r="Q18" s="120"/>
      <c r="R18" s="155">
        <f>テーブル256789[[#This Row],[市交付決定額]]-テーブル256789[[#This Row],[市交付確定額]]</f>
        <v>0</v>
      </c>
      <c r="S18" s="154" t="s">
        <v>882</v>
      </c>
      <c r="T18" s="156">
        <v>1377</v>
      </c>
    </row>
    <row r="19" spans="1:20" ht="30" customHeight="1">
      <c r="A19" s="84">
        <v>18</v>
      </c>
      <c r="B19" s="24"/>
      <c r="C19" s="82">
        <v>44723</v>
      </c>
      <c r="D19" s="120" t="s">
        <v>764</v>
      </c>
      <c r="E19" s="120" t="s">
        <v>768</v>
      </c>
      <c r="F19" s="120"/>
      <c r="G19" s="120" t="s">
        <v>426</v>
      </c>
      <c r="H19" s="121" t="s">
        <v>237</v>
      </c>
      <c r="I19" s="120" t="s">
        <v>781</v>
      </c>
      <c r="J19" s="29">
        <v>220000</v>
      </c>
      <c r="K19" s="29">
        <v>330640</v>
      </c>
      <c r="L19" s="29">
        <v>330640</v>
      </c>
      <c r="M19" s="125">
        <f>ROUNDDOWN(テーブル256789[[#This Row],[申請額]],-3)</f>
        <v>330000</v>
      </c>
      <c r="N19" s="125">
        <v>330000</v>
      </c>
      <c r="O19" s="125">
        <f>ROUNDDOWN(PRODUCT(テーブル256789[[#This Row],[市交付決定額]],2/3),-3)</f>
        <v>220000</v>
      </c>
      <c r="P19" s="29"/>
      <c r="Q19" s="120"/>
      <c r="R19" s="155">
        <f>テーブル256789[[#This Row],[市交付決定額]]-テーブル256789[[#This Row],[市交付確定額]]</f>
        <v>0</v>
      </c>
      <c r="S19" s="154" t="s">
        <v>887</v>
      </c>
      <c r="T19" s="156">
        <v>1378</v>
      </c>
    </row>
    <row r="20" spans="1:20" ht="30" customHeight="1">
      <c r="A20" s="84">
        <v>19</v>
      </c>
      <c r="B20" s="24"/>
      <c r="C20" s="82">
        <v>44723</v>
      </c>
      <c r="D20" s="120" t="s">
        <v>764</v>
      </c>
      <c r="E20" s="120" t="s">
        <v>768</v>
      </c>
      <c r="F20" s="120"/>
      <c r="G20" s="120" t="s">
        <v>426</v>
      </c>
      <c r="H20" s="121" t="s">
        <v>238</v>
      </c>
      <c r="I20" s="120" t="s">
        <v>781</v>
      </c>
      <c r="J20" s="29">
        <v>155000</v>
      </c>
      <c r="K20" s="29">
        <v>233080</v>
      </c>
      <c r="L20" s="29">
        <v>233080</v>
      </c>
      <c r="M20" s="125">
        <f>ROUNDDOWN(テーブル256789[[#This Row],[申請額]],-3)</f>
        <v>233000</v>
      </c>
      <c r="N20" s="125">
        <v>233000</v>
      </c>
      <c r="O20" s="125">
        <f>ROUNDDOWN(PRODUCT(テーブル256789[[#This Row],[市交付決定額]],2/3),-3)</f>
        <v>155000</v>
      </c>
      <c r="P20" s="29"/>
      <c r="Q20" s="120"/>
      <c r="R20" s="155">
        <f>テーブル256789[[#This Row],[市交付決定額]]-テーブル256789[[#This Row],[市交付確定額]]</f>
        <v>0</v>
      </c>
      <c r="S20" s="154" t="s">
        <v>887</v>
      </c>
      <c r="T20" s="156">
        <v>1379</v>
      </c>
    </row>
    <row r="21" spans="1:20" ht="30" customHeight="1">
      <c r="A21" s="84">
        <v>20</v>
      </c>
      <c r="B21" s="24"/>
      <c r="C21" s="82">
        <v>44723</v>
      </c>
      <c r="D21" s="120" t="s">
        <v>764</v>
      </c>
      <c r="E21" s="120" t="s">
        <v>768</v>
      </c>
      <c r="F21" s="120"/>
      <c r="G21" s="120" t="s">
        <v>426</v>
      </c>
      <c r="H21" s="121" t="s">
        <v>239</v>
      </c>
      <c r="I21" s="120" t="s">
        <v>781</v>
      </c>
      <c r="J21" s="29">
        <v>187000</v>
      </c>
      <c r="K21" s="29">
        <v>281860</v>
      </c>
      <c r="L21" s="29">
        <v>281860</v>
      </c>
      <c r="M21" s="125">
        <f>ROUNDDOWN(テーブル256789[[#This Row],[申請額]],-3)</f>
        <v>281000</v>
      </c>
      <c r="N21" s="125">
        <v>281000</v>
      </c>
      <c r="O21" s="125">
        <f>ROUNDDOWN(PRODUCT(テーブル256789[[#This Row],[市交付決定額]],2/3),-3)</f>
        <v>187000</v>
      </c>
      <c r="P21" s="29"/>
      <c r="Q21" s="120"/>
      <c r="R21" s="155">
        <f>テーブル256789[[#This Row],[市交付決定額]]-テーブル256789[[#This Row],[市交付確定額]]</f>
        <v>0</v>
      </c>
      <c r="S21" s="154" t="s">
        <v>887</v>
      </c>
      <c r="T21" s="156">
        <v>1380</v>
      </c>
    </row>
    <row r="22" spans="1:20" ht="30" customHeight="1">
      <c r="A22" s="84">
        <v>21</v>
      </c>
      <c r="B22" s="24"/>
      <c r="C22" s="82">
        <v>44722</v>
      </c>
      <c r="D22" s="120" t="s">
        <v>787</v>
      </c>
      <c r="E22" s="120" t="s">
        <v>791</v>
      </c>
      <c r="F22" s="120"/>
      <c r="G22" s="120" t="s">
        <v>295</v>
      </c>
      <c r="H22" s="121" t="s">
        <v>243</v>
      </c>
      <c r="I22" s="120" t="s">
        <v>717</v>
      </c>
      <c r="J22" s="29">
        <v>407000</v>
      </c>
      <c r="K22" s="29">
        <v>611380</v>
      </c>
      <c r="L22" s="29">
        <v>611380</v>
      </c>
      <c r="M22" s="125">
        <f>ROUNDDOWN(テーブル256789[[#This Row],[申請額]],-3)</f>
        <v>611000</v>
      </c>
      <c r="N22" s="125">
        <v>611000</v>
      </c>
      <c r="O22" s="125">
        <f>ROUNDDOWN(PRODUCT(テーブル256789[[#This Row],[市交付決定額]],2/3),-3)</f>
        <v>407000</v>
      </c>
      <c r="P22" s="29"/>
      <c r="Q22" s="120"/>
      <c r="R22" s="155">
        <f>テーブル256789[[#This Row],[市交付決定額]]-テーブル256789[[#This Row],[市交付確定額]]</f>
        <v>0</v>
      </c>
      <c r="S22" s="154" t="s">
        <v>883</v>
      </c>
      <c r="T22" s="156">
        <v>1381</v>
      </c>
    </row>
    <row r="23" spans="1:20" ht="30" customHeight="1">
      <c r="A23" s="84">
        <v>22</v>
      </c>
      <c r="B23" s="24"/>
      <c r="C23" s="82">
        <v>44721</v>
      </c>
      <c r="D23" s="120" t="s">
        <v>795</v>
      </c>
      <c r="E23" s="120" t="s">
        <v>799</v>
      </c>
      <c r="F23" s="120"/>
      <c r="G23" s="26" t="s">
        <v>414</v>
      </c>
      <c r="H23" s="121" t="s">
        <v>801</v>
      </c>
      <c r="I23" s="120" t="s">
        <v>717</v>
      </c>
      <c r="J23" s="29">
        <v>444000</v>
      </c>
      <c r="K23" s="29">
        <v>666600</v>
      </c>
      <c r="L23" s="29">
        <v>666600</v>
      </c>
      <c r="M23" s="125">
        <f>ROUNDDOWN(テーブル256789[[#This Row],[申請額]],-3)</f>
        <v>666000</v>
      </c>
      <c r="N23" s="125">
        <v>666000</v>
      </c>
      <c r="O23" s="125">
        <f>ROUNDDOWN(PRODUCT(テーブル256789[[#This Row],[市交付決定額]],2/3),-3)</f>
        <v>444000</v>
      </c>
      <c r="P23" s="29"/>
      <c r="Q23" s="120"/>
      <c r="R23" s="155">
        <f>テーブル256789[[#This Row],[市交付決定額]]-テーブル256789[[#This Row],[市交付確定額]]</f>
        <v>0</v>
      </c>
      <c r="S23" s="154" t="s">
        <v>884</v>
      </c>
      <c r="T23" s="156">
        <v>1382</v>
      </c>
    </row>
    <row r="24" spans="1:20" ht="30" customHeight="1">
      <c r="A24" s="84">
        <v>23</v>
      </c>
      <c r="B24" s="24"/>
      <c r="C24" s="82">
        <v>44714</v>
      </c>
      <c r="D24" s="120" t="s">
        <v>804</v>
      </c>
      <c r="E24" s="120" t="s">
        <v>808</v>
      </c>
      <c r="F24" s="120"/>
      <c r="G24" s="120" t="s">
        <v>407</v>
      </c>
      <c r="H24" s="121" t="s">
        <v>810</v>
      </c>
      <c r="I24" s="120" t="s">
        <v>710</v>
      </c>
      <c r="J24" s="29">
        <v>516000</v>
      </c>
      <c r="K24" s="29">
        <v>774060</v>
      </c>
      <c r="L24" s="29">
        <v>772830</v>
      </c>
      <c r="M24" s="125">
        <v>774000</v>
      </c>
      <c r="N24" s="125">
        <v>774000</v>
      </c>
      <c r="O24" s="125">
        <f>ROUNDDOWN(PRODUCT(テーブル256789[[#This Row],[市交付決定額]],2/3),-3)</f>
        <v>516000</v>
      </c>
      <c r="P24" s="29"/>
      <c r="Q24" s="120"/>
      <c r="R24" s="155">
        <f>テーブル256789[[#This Row],[市交付決定額]]-テーブル256789[[#This Row],[市交付確定額]]</f>
        <v>0</v>
      </c>
      <c r="S24" s="154" t="s">
        <v>890</v>
      </c>
      <c r="T24" s="156">
        <v>1383</v>
      </c>
    </row>
    <row r="25" spans="1:20" ht="30" customHeight="1">
      <c r="A25" s="84">
        <v>24</v>
      </c>
      <c r="B25" s="24"/>
      <c r="C25" s="82">
        <v>44715</v>
      </c>
      <c r="D25" s="120" t="s">
        <v>813</v>
      </c>
      <c r="E25" s="120" t="s">
        <v>817</v>
      </c>
      <c r="F25" s="120"/>
      <c r="G25" s="120" t="s">
        <v>437</v>
      </c>
      <c r="H25" s="121" t="s">
        <v>819</v>
      </c>
      <c r="I25" s="120" t="s">
        <v>710</v>
      </c>
      <c r="J25" s="29">
        <v>144000</v>
      </c>
      <c r="K25" s="29">
        <v>216474</v>
      </c>
      <c r="L25" s="29">
        <v>199100</v>
      </c>
      <c r="M25" s="125">
        <f>ROUNDDOWN(テーブル256789[[#This Row],[申請額]],-3)</f>
        <v>199000</v>
      </c>
      <c r="N25" s="125">
        <v>199000</v>
      </c>
      <c r="O25" s="125">
        <f>ROUNDDOWN(PRODUCT(テーブル256789[[#This Row],[市交付決定額]],2/3),-3)</f>
        <v>132000</v>
      </c>
      <c r="P25" s="29"/>
      <c r="Q25" s="120"/>
      <c r="R25" s="155">
        <f>テーブル256789[[#This Row],[市交付決定額]]-テーブル256789[[#This Row],[市交付確定額]]</f>
        <v>0</v>
      </c>
      <c r="S25" s="154" t="s">
        <v>891</v>
      </c>
      <c r="T25" s="156">
        <v>1384</v>
      </c>
    </row>
    <row r="26" spans="1:20" ht="30" customHeight="1">
      <c r="A26" s="84">
        <v>25</v>
      </c>
      <c r="B26" s="24"/>
      <c r="C26" s="82">
        <v>44725</v>
      </c>
      <c r="D26" s="120" t="s">
        <v>224</v>
      </c>
      <c r="E26" s="120" t="s">
        <v>825</v>
      </c>
      <c r="F26" s="120"/>
      <c r="G26" s="120" t="s">
        <v>394</v>
      </c>
      <c r="H26" s="121" t="s">
        <v>827</v>
      </c>
      <c r="I26" s="120" t="s">
        <v>781</v>
      </c>
      <c r="J26" s="29">
        <v>666000</v>
      </c>
      <c r="K26" s="29">
        <v>1000000</v>
      </c>
      <c r="L26" s="29">
        <v>863614</v>
      </c>
      <c r="M26" s="125">
        <f>ROUNDDOWN(テーブル256789[[#This Row],[申請額]],-3)</f>
        <v>863000</v>
      </c>
      <c r="N26" s="125">
        <v>863000</v>
      </c>
      <c r="O26" s="125">
        <f>ROUNDDOWN(PRODUCT(テーブル256789[[#This Row],[市交付決定額]],2/3),-3)</f>
        <v>575000</v>
      </c>
      <c r="P26" s="29"/>
      <c r="Q26" s="120"/>
      <c r="R26" s="155">
        <f>テーブル256789[[#This Row],[市交付決定額]]-テーブル256789[[#This Row],[市交付確定額]]</f>
        <v>0</v>
      </c>
      <c r="S26" s="154" t="s">
        <v>886</v>
      </c>
      <c r="T26" s="156">
        <v>1385</v>
      </c>
    </row>
    <row r="27" spans="1:20" ht="30" customHeight="1">
      <c r="A27" s="84">
        <v>26</v>
      </c>
      <c r="B27" s="24"/>
      <c r="C27" s="82">
        <v>44721</v>
      </c>
      <c r="D27" s="120" t="s">
        <v>830</v>
      </c>
      <c r="E27" s="120" t="s">
        <v>834</v>
      </c>
      <c r="F27" s="120"/>
      <c r="G27" s="120" t="s">
        <v>357</v>
      </c>
      <c r="H27" s="121" t="s">
        <v>250</v>
      </c>
      <c r="I27" s="120" t="s">
        <v>781</v>
      </c>
      <c r="J27" s="29">
        <v>666000</v>
      </c>
      <c r="K27" s="29">
        <v>1000000</v>
      </c>
      <c r="L27" s="29">
        <v>1000000</v>
      </c>
      <c r="M27" s="125">
        <f>ROUNDDOWN(テーブル256789[[#This Row],[申請額]],-3)</f>
        <v>1000000</v>
      </c>
      <c r="N27" s="125">
        <v>1000000</v>
      </c>
      <c r="O27" s="125">
        <f>ROUNDDOWN(PRODUCT(テーブル256789[[#This Row],[市交付決定額]],2/3),-3)</f>
        <v>666000</v>
      </c>
      <c r="P27" s="29"/>
      <c r="Q27" s="120"/>
      <c r="R27" s="155">
        <f>テーブル256789[[#This Row],[市交付決定額]]-テーブル256789[[#This Row],[市交付確定額]]</f>
        <v>0</v>
      </c>
      <c r="S27" s="154" t="s">
        <v>888</v>
      </c>
      <c r="T27" s="156">
        <v>1386</v>
      </c>
    </row>
    <row r="28" spans="1:20" ht="30" customHeight="1">
      <c r="A28" s="84">
        <v>27</v>
      </c>
      <c r="B28" s="24"/>
      <c r="C28" s="82">
        <v>44721</v>
      </c>
      <c r="D28" s="120" t="s">
        <v>830</v>
      </c>
      <c r="E28" s="120" t="s">
        <v>834</v>
      </c>
      <c r="F28" s="120"/>
      <c r="G28" s="120" t="s">
        <v>357</v>
      </c>
      <c r="H28" s="121" t="s">
        <v>252</v>
      </c>
      <c r="I28" s="120" t="s">
        <v>837</v>
      </c>
      <c r="J28" s="29">
        <v>666000</v>
      </c>
      <c r="K28" s="29">
        <v>1000000</v>
      </c>
      <c r="L28" s="29">
        <v>1000000</v>
      </c>
      <c r="M28" s="125">
        <f>ROUNDDOWN(テーブル256789[[#This Row],[申請額]],-3)</f>
        <v>1000000</v>
      </c>
      <c r="N28" s="125">
        <v>1000000</v>
      </c>
      <c r="O28" s="125">
        <f>ROUNDDOWN(PRODUCT(テーブル256789[[#This Row],[市交付決定額]],2/3),-3)</f>
        <v>666000</v>
      </c>
      <c r="P28" s="29"/>
      <c r="Q28" s="120"/>
      <c r="R28" s="155">
        <f>テーブル256789[[#This Row],[市交付決定額]]-テーブル256789[[#This Row],[市交付確定額]]</f>
        <v>0</v>
      </c>
      <c r="S28" s="154" t="s">
        <v>888</v>
      </c>
      <c r="T28" s="156">
        <v>1387</v>
      </c>
    </row>
    <row r="29" spans="1:20" ht="30" customHeight="1">
      <c r="A29" s="84">
        <v>28</v>
      </c>
      <c r="B29" s="24"/>
      <c r="C29" s="82">
        <v>44721</v>
      </c>
      <c r="D29" s="120" t="s">
        <v>830</v>
      </c>
      <c r="E29" s="120" t="s">
        <v>834</v>
      </c>
      <c r="F29" s="120"/>
      <c r="G29" s="120" t="s">
        <v>357</v>
      </c>
      <c r="H29" s="121" t="s">
        <v>537</v>
      </c>
      <c r="I29" s="120" t="s">
        <v>781</v>
      </c>
      <c r="J29" s="29">
        <v>666000</v>
      </c>
      <c r="K29" s="29">
        <v>1000000</v>
      </c>
      <c r="L29" s="29">
        <v>1000000</v>
      </c>
      <c r="M29" s="125">
        <f>ROUNDDOWN(テーブル256789[[#This Row],[申請額]],-3)</f>
        <v>1000000</v>
      </c>
      <c r="N29" s="125">
        <v>1000000</v>
      </c>
      <c r="O29" s="125">
        <f>ROUNDDOWN(PRODUCT(テーブル256789[[#This Row],[市交付決定額]],2/3),-3)</f>
        <v>666000</v>
      </c>
      <c r="P29" s="29"/>
      <c r="Q29" s="120"/>
      <c r="R29" s="155">
        <f>テーブル256789[[#This Row],[市交付決定額]]-テーブル256789[[#This Row],[市交付確定額]]</f>
        <v>0</v>
      </c>
      <c r="S29" s="154" t="s">
        <v>888</v>
      </c>
      <c r="T29" s="156">
        <v>1388</v>
      </c>
    </row>
    <row r="30" spans="1:20" ht="30" customHeight="1">
      <c r="A30" s="84">
        <v>29</v>
      </c>
      <c r="B30" s="24"/>
      <c r="C30" s="82">
        <v>44721</v>
      </c>
      <c r="D30" s="120" t="s">
        <v>830</v>
      </c>
      <c r="E30" s="120" t="s">
        <v>834</v>
      </c>
      <c r="F30" s="120"/>
      <c r="G30" s="120" t="s">
        <v>357</v>
      </c>
      <c r="H30" s="121" t="s">
        <v>543</v>
      </c>
      <c r="I30" s="120" t="s">
        <v>781</v>
      </c>
      <c r="J30" s="29">
        <v>666000</v>
      </c>
      <c r="K30" s="29">
        <v>1000000</v>
      </c>
      <c r="L30" s="29">
        <v>1000000</v>
      </c>
      <c r="M30" s="125">
        <f>ROUNDDOWN(テーブル256789[[#This Row],[申請額]],-3)</f>
        <v>1000000</v>
      </c>
      <c r="N30" s="125">
        <v>1000000</v>
      </c>
      <c r="O30" s="125">
        <f>ROUNDDOWN(PRODUCT(テーブル256789[[#This Row],[市交付決定額]],2/3),-3)</f>
        <v>666000</v>
      </c>
      <c r="P30" s="29"/>
      <c r="Q30" s="120"/>
      <c r="R30" s="155">
        <f>テーブル256789[[#This Row],[市交付決定額]]-テーブル256789[[#This Row],[市交付確定額]]</f>
        <v>0</v>
      </c>
      <c r="S30" s="154" t="s">
        <v>888</v>
      </c>
      <c r="T30" s="156">
        <v>1389</v>
      </c>
    </row>
    <row r="31" spans="1:20" ht="30" customHeight="1">
      <c r="A31" s="84">
        <v>30</v>
      </c>
      <c r="B31" s="24"/>
      <c r="C31" s="82">
        <v>44721</v>
      </c>
      <c r="D31" s="120" t="s">
        <v>830</v>
      </c>
      <c r="E31" s="120" t="s">
        <v>834</v>
      </c>
      <c r="F31" s="120"/>
      <c r="G31" s="120" t="s">
        <v>357</v>
      </c>
      <c r="H31" s="121" t="s">
        <v>548</v>
      </c>
      <c r="I31" s="120" t="s">
        <v>781</v>
      </c>
      <c r="J31" s="29">
        <v>666000</v>
      </c>
      <c r="K31" s="29">
        <v>1000000</v>
      </c>
      <c r="L31" s="29">
        <v>1000000</v>
      </c>
      <c r="M31" s="125">
        <f>ROUNDDOWN(テーブル256789[[#This Row],[申請額]],-3)</f>
        <v>1000000</v>
      </c>
      <c r="N31" s="125">
        <v>1000000</v>
      </c>
      <c r="O31" s="125">
        <f>ROUNDDOWN(PRODUCT(テーブル256789[[#This Row],[市交付決定額]],2/3),-3)</f>
        <v>666000</v>
      </c>
      <c r="P31" s="29"/>
      <c r="Q31" s="120"/>
      <c r="R31" s="155">
        <f>テーブル256789[[#This Row],[市交付決定額]]-テーブル256789[[#This Row],[市交付確定額]]</f>
        <v>0</v>
      </c>
      <c r="S31" s="154" t="s">
        <v>888</v>
      </c>
      <c r="T31" s="156">
        <v>1390</v>
      </c>
    </row>
    <row r="32" spans="1:20" ht="30" customHeight="1">
      <c r="A32" s="84">
        <v>31</v>
      </c>
      <c r="B32" s="24"/>
      <c r="C32" s="82">
        <v>44721</v>
      </c>
      <c r="D32" s="120" t="s">
        <v>830</v>
      </c>
      <c r="E32" s="120" t="s">
        <v>834</v>
      </c>
      <c r="F32" s="120"/>
      <c r="G32" s="120" t="s">
        <v>357</v>
      </c>
      <c r="H32" s="121" t="s">
        <v>613</v>
      </c>
      <c r="I32" s="120" t="s">
        <v>837</v>
      </c>
      <c r="J32" s="29">
        <v>666000</v>
      </c>
      <c r="K32" s="29">
        <v>1000000</v>
      </c>
      <c r="L32" s="29">
        <v>1000000</v>
      </c>
      <c r="M32" s="125">
        <f>ROUNDDOWN(テーブル256789[[#This Row],[申請額]],-3)</f>
        <v>1000000</v>
      </c>
      <c r="N32" s="125">
        <v>1000000</v>
      </c>
      <c r="O32" s="125">
        <f>ROUNDDOWN(PRODUCT(テーブル256789[[#This Row],[市交付決定額]],2/3),-3)</f>
        <v>666000</v>
      </c>
      <c r="P32" s="29"/>
      <c r="Q32" s="120"/>
      <c r="R32" s="155">
        <f>テーブル256789[[#This Row],[市交付決定額]]-テーブル256789[[#This Row],[市交付確定額]]</f>
        <v>0</v>
      </c>
      <c r="S32" s="154" t="s">
        <v>888</v>
      </c>
      <c r="T32" s="156">
        <v>1391</v>
      </c>
    </row>
    <row r="33" spans="1:20" ht="30" customHeight="1">
      <c r="A33" s="84">
        <v>32</v>
      </c>
      <c r="B33" s="24"/>
      <c r="C33" s="82">
        <v>44717</v>
      </c>
      <c r="D33" s="120" t="s">
        <v>840</v>
      </c>
      <c r="E33" s="120" t="s">
        <v>844</v>
      </c>
      <c r="F33" s="120"/>
      <c r="G33" s="26" t="s">
        <v>417</v>
      </c>
      <c r="H33" s="121" t="s">
        <v>846</v>
      </c>
      <c r="I33" s="120" t="s">
        <v>688</v>
      </c>
      <c r="J33" s="29">
        <v>666000</v>
      </c>
      <c r="K33" s="29">
        <v>1000000</v>
      </c>
      <c r="L33" s="29">
        <v>1000000</v>
      </c>
      <c r="M33" s="125">
        <f>ROUNDDOWN(テーブル256789[[#This Row],[申請額]],-3)</f>
        <v>1000000</v>
      </c>
      <c r="N33" s="125">
        <v>865000</v>
      </c>
      <c r="O33" s="125">
        <f>ROUNDDOWN(PRODUCT(テーブル256789[[#This Row],[市交付決定額]],2/3),-3)</f>
        <v>666000</v>
      </c>
      <c r="P33" s="29"/>
      <c r="Q33" s="120"/>
      <c r="R33" s="155">
        <f>テーブル256789[[#This Row],[市交付決定額]]-テーブル256789[[#This Row],[市交付確定額]]</f>
        <v>135000</v>
      </c>
      <c r="S33" s="154" t="s">
        <v>878</v>
      </c>
      <c r="T33" s="156">
        <v>1392</v>
      </c>
    </row>
    <row r="34" spans="1:20" ht="30" hidden="1" customHeight="1">
      <c r="A34" s="84">
        <v>33</v>
      </c>
      <c r="B34" s="24"/>
      <c r="C34" s="82"/>
      <c r="D34" s="120" t="s">
        <v>830</v>
      </c>
      <c r="E34" s="120"/>
      <c r="F34" s="120"/>
      <c r="G34" s="120"/>
      <c r="H34" s="121" t="s">
        <v>869</v>
      </c>
      <c r="I34" s="120" t="s">
        <v>781</v>
      </c>
      <c r="J34" s="29">
        <v>666000</v>
      </c>
      <c r="K34" s="29">
        <v>1000000</v>
      </c>
      <c r="L34" s="29">
        <v>0</v>
      </c>
      <c r="M34" s="29">
        <f>ROUNDDOWN(テーブル256789[[#This Row],[申請額]],-3)</f>
        <v>0</v>
      </c>
      <c r="N34" s="29"/>
      <c r="O34" s="125">
        <f>ROUNDDOWN(PRODUCT(テーブル256789[[#This Row],[市交付決定額]],2/3),-3)</f>
        <v>0</v>
      </c>
      <c r="P34" s="29"/>
      <c r="Q34" s="120"/>
      <c r="R34" s="155">
        <f>テーブル256789[[#This Row],[市交付決定額]]-テーブル256789[[#This Row],[市交付確定額]]</f>
        <v>0</v>
      </c>
      <c r="S34" s="154"/>
      <c r="T34" s="156">
        <v>1393</v>
      </c>
    </row>
    <row r="35" spans="1:20" ht="30" hidden="1" customHeight="1">
      <c r="A35" s="84">
        <v>34</v>
      </c>
      <c r="B35" s="24"/>
      <c r="C35" s="82"/>
      <c r="D35" s="120" t="s">
        <v>830</v>
      </c>
      <c r="E35" s="120"/>
      <c r="F35" s="120"/>
      <c r="G35" s="120"/>
      <c r="H35" s="121" t="s">
        <v>870</v>
      </c>
      <c r="I35" s="120" t="s">
        <v>781</v>
      </c>
      <c r="J35" s="29">
        <v>666000</v>
      </c>
      <c r="K35" s="29">
        <v>1000000</v>
      </c>
      <c r="L35" s="29">
        <v>0</v>
      </c>
      <c r="M35" s="29">
        <f>ROUNDDOWN(テーブル256789[[#This Row],[申請額]],-3)</f>
        <v>0</v>
      </c>
      <c r="N35" s="29"/>
      <c r="O35" s="125">
        <f>ROUNDDOWN(PRODUCT(テーブル256789[[#This Row],[市交付決定額]],2/3),-3)</f>
        <v>0</v>
      </c>
      <c r="P35" s="29"/>
      <c r="Q35" s="120"/>
      <c r="R35" s="155">
        <f>テーブル256789[[#This Row],[市交付決定額]]-テーブル256789[[#This Row],[市交付確定額]]</f>
        <v>0</v>
      </c>
      <c r="S35" s="154"/>
      <c r="T35" s="156">
        <v>1394</v>
      </c>
    </row>
    <row r="36" spans="1:20" ht="30" hidden="1" customHeight="1">
      <c r="A36" s="84">
        <v>35</v>
      </c>
      <c r="B36" s="24"/>
      <c r="C36" s="82"/>
      <c r="D36" s="120" t="s">
        <v>867</v>
      </c>
      <c r="E36" s="120"/>
      <c r="F36" s="120"/>
      <c r="G36" s="120"/>
      <c r="H36" s="121" t="s">
        <v>868</v>
      </c>
      <c r="I36" s="120" t="s">
        <v>688</v>
      </c>
      <c r="J36" s="29">
        <v>121000</v>
      </c>
      <c r="K36" s="29">
        <v>182912</v>
      </c>
      <c r="L36" s="29">
        <v>0</v>
      </c>
      <c r="M36" s="29">
        <f>ROUNDDOWN(テーブル256789[[#This Row],[申請額]],-3)</f>
        <v>0</v>
      </c>
      <c r="N36" s="29"/>
      <c r="O36" s="125">
        <f>ROUNDDOWN(PRODUCT(テーブル256789[[#This Row],[市交付決定額]],2/3),-3)</f>
        <v>0</v>
      </c>
      <c r="P36" s="29"/>
      <c r="Q36" s="120"/>
      <c r="R36" s="155">
        <f>テーブル256789[[#This Row],[市交付決定額]]-テーブル256789[[#This Row],[市交付確定額]]</f>
        <v>0</v>
      </c>
      <c r="S36" s="154"/>
      <c r="T36" s="156">
        <v>1395</v>
      </c>
    </row>
    <row r="37" spans="1:20" ht="50.25" customHeight="1"/>
  </sheetData>
  <phoneticPr fontId="1"/>
  <pageMargins left="0.70866141732283472" right="0.70866141732283472" top="0.74803149606299213" bottom="0.74803149606299213" header="0.31496062992125984" footer="0.31496062992125984"/>
  <pageSetup paperSize="8" scale="63" fitToHeight="0" orientation="landscape" r:id="rId1"/>
  <headerFooter>
    <oddHeader>&amp;C&amp;"BIZ UDPゴシック,標準"&amp;16令和4年度障害福祉分野のICT導入モデル事業　対象事業所一覧</oddHead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  <pageSetUpPr fitToPage="1"/>
  </sheetPr>
  <dimension ref="A1:S51"/>
  <sheetViews>
    <sheetView topLeftCell="H1" zoomScale="60" zoomScaleNormal="60" zoomScaleSheetLayoutView="70" workbookViewId="0">
      <pane ySplit="1" topLeftCell="A44" activePane="bottomLeft" state="frozen"/>
      <selection activeCell="AU25" sqref="AU25"/>
      <selection pane="bottomLeft" activeCell="O38" sqref="O38"/>
    </sheetView>
  </sheetViews>
  <sheetFormatPr defaultColWidth="9" defaultRowHeight="13" outlineLevelCol="1"/>
  <cols>
    <col min="1" max="1" width="8.7265625" style="21" customWidth="1"/>
    <col min="2" max="2" width="11.26953125" style="21" customWidth="1"/>
    <col min="3" max="3" width="12.453125" style="21" customWidth="1" outlineLevel="1"/>
    <col min="4" max="4" width="17.453125" style="20" customWidth="1"/>
    <col min="5" max="5" width="56.36328125" style="20" customWidth="1"/>
    <col min="6" max="7" width="47.453125" style="20" hidden="1" customWidth="1" outlineLevel="1"/>
    <col min="8" max="8" width="40.7265625" style="22" customWidth="1" collapsed="1"/>
    <col min="9" max="9" width="43" style="20" customWidth="1"/>
    <col min="10" max="10" width="42.08984375" style="20" customWidth="1" outlineLevel="1"/>
    <col min="11" max="13" width="35.7265625" style="20" customWidth="1" outlineLevel="1"/>
    <col min="14" max="16" width="35.7265625" style="20" customWidth="1"/>
    <col min="17" max="17" width="50" style="20" hidden="1" customWidth="1" outlineLevel="1"/>
    <col min="18" max="18" width="51" style="20" hidden="1" customWidth="1" outlineLevel="1" collapsed="1"/>
    <col min="19" max="19" width="9" style="20" collapsed="1"/>
    <col min="20" max="16384" width="9" style="20"/>
  </cols>
  <sheetData>
    <row r="1" spans="2:18" s="19" customFormat="1" ht="46.5" customHeight="1">
      <c r="B1" s="17" t="s">
        <v>257</v>
      </c>
      <c r="C1" s="17" t="s">
        <v>644</v>
      </c>
      <c r="D1" s="17" t="s">
        <v>645</v>
      </c>
      <c r="E1" s="17" t="s">
        <v>173</v>
      </c>
      <c r="F1" s="17" t="s">
        <v>584</v>
      </c>
      <c r="G1" s="17" t="s">
        <v>621</v>
      </c>
      <c r="H1" s="17" t="s">
        <v>620</v>
      </c>
      <c r="I1" s="17" t="s">
        <v>174</v>
      </c>
      <c r="J1" s="17" t="s">
        <v>175</v>
      </c>
      <c r="K1" s="17" t="s">
        <v>640</v>
      </c>
      <c r="L1" s="78" t="s">
        <v>871</v>
      </c>
      <c r="M1" s="78" t="s">
        <v>637</v>
      </c>
      <c r="N1" s="78" t="s">
        <v>873</v>
      </c>
      <c r="O1" s="78" t="s">
        <v>874</v>
      </c>
      <c r="P1" s="78" t="s">
        <v>872</v>
      </c>
      <c r="Q1" s="78" t="s">
        <v>638</v>
      </c>
      <c r="R1" s="17" t="s">
        <v>179</v>
      </c>
    </row>
    <row r="2" spans="2:18" s="19" customFormat="1" ht="30" customHeight="1">
      <c r="B2" s="84">
        <v>1</v>
      </c>
      <c r="C2" s="24">
        <v>16</v>
      </c>
      <c r="D2" s="82">
        <v>44712</v>
      </c>
      <c r="E2" s="26" t="s">
        <v>631</v>
      </c>
      <c r="F2" s="26" t="s">
        <v>610</v>
      </c>
      <c r="G2" s="26" t="s">
        <v>302</v>
      </c>
      <c r="H2" s="26" t="s">
        <v>302</v>
      </c>
      <c r="I2" s="79" t="s">
        <v>188</v>
      </c>
      <c r="J2" s="26" t="s">
        <v>189</v>
      </c>
      <c r="K2" s="29">
        <v>187000</v>
      </c>
      <c r="L2" s="29">
        <v>281400</v>
      </c>
      <c r="M2" s="29">
        <v>281400</v>
      </c>
      <c r="N2" s="125">
        <f>ROUNDDOWN(テーブル25678[[#This Row],[申請額]],-3)</f>
        <v>281000</v>
      </c>
      <c r="O2" s="125">
        <v>281000</v>
      </c>
      <c r="P2" s="125">
        <f>ROUNDDOWN(PRODUCT(テーブル25678[[#This Row],[市交付決定額]],2/3),-3)</f>
        <v>187000</v>
      </c>
      <c r="Q2" s="29" t="s">
        <v>639</v>
      </c>
      <c r="R2" s="28"/>
    </row>
    <row r="3" spans="2:18" s="19" customFormat="1" ht="30" customHeight="1">
      <c r="B3" s="84">
        <v>2</v>
      </c>
      <c r="C3" s="24">
        <v>17</v>
      </c>
      <c r="D3" s="82">
        <v>44721</v>
      </c>
      <c r="E3" s="26" t="s">
        <v>199</v>
      </c>
      <c r="F3" s="26" t="s">
        <v>646</v>
      </c>
      <c r="G3" s="26" t="s">
        <v>357</v>
      </c>
      <c r="H3" s="26" t="s">
        <v>357</v>
      </c>
      <c r="I3" s="79" t="s">
        <v>200</v>
      </c>
      <c r="J3" s="26" t="s">
        <v>189</v>
      </c>
      <c r="K3" s="29">
        <v>666000</v>
      </c>
      <c r="L3" s="29">
        <v>1000000</v>
      </c>
      <c r="M3" s="29">
        <v>1000000</v>
      </c>
      <c r="N3" s="125">
        <f>ROUNDDOWN(テーブル25678[[#This Row],[申請額]],-3)</f>
        <v>1000000</v>
      </c>
      <c r="O3" s="153">
        <v>1000000</v>
      </c>
      <c r="P3" s="125">
        <f>ROUNDDOWN(PRODUCT(テーブル25678[[#This Row],[市交付決定額]],2/3),-3)</f>
        <v>666000</v>
      </c>
      <c r="Q3" s="29" t="s">
        <v>639</v>
      </c>
      <c r="R3" s="28"/>
    </row>
    <row r="4" spans="2:18" s="19" customFormat="1" ht="30" customHeight="1">
      <c r="B4" s="84">
        <v>3</v>
      </c>
      <c r="C4" s="24">
        <v>18</v>
      </c>
      <c r="D4" s="82">
        <v>44721</v>
      </c>
      <c r="E4" s="26" t="s">
        <v>199</v>
      </c>
      <c r="F4" s="26" t="s">
        <v>646</v>
      </c>
      <c r="G4" s="26" t="s">
        <v>357</v>
      </c>
      <c r="H4" s="26" t="s">
        <v>357</v>
      </c>
      <c r="I4" s="79" t="s">
        <v>203</v>
      </c>
      <c r="J4" s="26" t="s">
        <v>189</v>
      </c>
      <c r="K4" s="29">
        <v>666000</v>
      </c>
      <c r="L4" s="29">
        <v>1000000</v>
      </c>
      <c r="M4" s="29">
        <v>1000000</v>
      </c>
      <c r="N4" s="125">
        <f>ROUNDDOWN(テーブル25678[[#This Row],[申請額]],-3)</f>
        <v>1000000</v>
      </c>
      <c r="O4" s="153">
        <v>1000000</v>
      </c>
      <c r="P4" s="125">
        <f>ROUNDDOWN(PRODUCT(テーブル25678[[#This Row],[市交付決定額]],2/3),-3)</f>
        <v>666000</v>
      </c>
      <c r="Q4" s="29" t="s">
        <v>639</v>
      </c>
      <c r="R4" s="28"/>
    </row>
    <row r="5" spans="2:18" s="19" customFormat="1" ht="30" customHeight="1">
      <c r="B5" s="84">
        <v>4</v>
      </c>
      <c r="C5" s="24">
        <v>19</v>
      </c>
      <c r="D5" s="82">
        <v>44721</v>
      </c>
      <c r="E5" s="26" t="s">
        <v>199</v>
      </c>
      <c r="F5" s="26" t="s">
        <v>646</v>
      </c>
      <c r="G5" s="26" t="s">
        <v>357</v>
      </c>
      <c r="H5" s="26" t="s">
        <v>357</v>
      </c>
      <c r="I5" s="79" t="s">
        <v>204</v>
      </c>
      <c r="J5" s="26" t="s">
        <v>189</v>
      </c>
      <c r="K5" s="29">
        <v>666000</v>
      </c>
      <c r="L5" s="29">
        <v>1000000</v>
      </c>
      <c r="M5" s="29">
        <v>1000000</v>
      </c>
      <c r="N5" s="125">
        <f>ROUNDDOWN(テーブル25678[[#This Row],[申請額]],-3)</f>
        <v>1000000</v>
      </c>
      <c r="O5" s="153">
        <v>1000000</v>
      </c>
      <c r="P5" s="125">
        <f>ROUNDDOWN(PRODUCT(テーブル25678[[#This Row],[市交付決定額]],2/3),-3)</f>
        <v>666000</v>
      </c>
      <c r="Q5" s="29" t="s">
        <v>639</v>
      </c>
      <c r="R5" s="28"/>
    </row>
    <row r="6" spans="2:18" s="19" customFormat="1" ht="30" customHeight="1">
      <c r="B6" s="84">
        <v>5</v>
      </c>
      <c r="C6" s="24">
        <v>20</v>
      </c>
      <c r="D6" s="82">
        <v>44720</v>
      </c>
      <c r="E6" s="26" t="s">
        <v>190</v>
      </c>
      <c r="F6" s="26" t="s">
        <v>648</v>
      </c>
      <c r="G6" s="120" t="s">
        <v>310</v>
      </c>
      <c r="H6" s="26" t="s">
        <v>341</v>
      </c>
      <c r="I6" s="79" t="s">
        <v>191</v>
      </c>
      <c r="J6" s="26" t="s">
        <v>75</v>
      </c>
      <c r="K6" s="29">
        <v>666000</v>
      </c>
      <c r="L6" s="29">
        <v>1000000</v>
      </c>
      <c r="M6" s="29">
        <v>1000000</v>
      </c>
      <c r="N6" s="125">
        <f>ROUNDDOWN(テーブル25678[[#This Row],[申請額]],-3)</f>
        <v>1000000</v>
      </c>
      <c r="O6" s="125">
        <v>1000000</v>
      </c>
      <c r="P6" s="125">
        <f>ROUNDDOWN(PRODUCT(テーブル25678[[#This Row],[市交付決定額]],2/3),-3)</f>
        <v>666000</v>
      </c>
      <c r="Q6" s="29" t="s">
        <v>643</v>
      </c>
      <c r="R6" s="28"/>
    </row>
    <row r="7" spans="2:18" s="19" customFormat="1" ht="30" customHeight="1">
      <c r="B7" s="84">
        <v>6</v>
      </c>
      <c r="C7" s="24">
        <v>21</v>
      </c>
      <c r="D7" s="82">
        <v>44720</v>
      </c>
      <c r="E7" s="26" t="s">
        <v>190</v>
      </c>
      <c r="F7" s="26" t="s">
        <v>648</v>
      </c>
      <c r="G7" s="26" t="s">
        <v>341</v>
      </c>
      <c r="H7" s="26" t="s">
        <v>341</v>
      </c>
      <c r="I7" s="79" t="s">
        <v>198</v>
      </c>
      <c r="J7" s="26" t="s">
        <v>75</v>
      </c>
      <c r="K7" s="29">
        <v>338000</v>
      </c>
      <c r="L7" s="29">
        <v>507540</v>
      </c>
      <c r="M7" s="29">
        <v>507540</v>
      </c>
      <c r="N7" s="125">
        <f>ROUNDDOWN(テーブル25678[[#This Row],[申請額]],-3)</f>
        <v>507000</v>
      </c>
      <c r="O7" s="125">
        <v>507000</v>
      </c>
      <c r="P7" s="125">
        <f>ROUNDDOWN(PRODUCT(テーブル25678[[#This Row],[市交付決定額]],2/3),-3)</f>
        <v>338000</v>
      </c>
      <c r="Q7" s="122" t="s">
        <v>652</v>
      </c>
      <c r="R7" s="28"/>
    </row>
    <row r="8" spans="2:18" s="19" customFormat="1" ht="30" customHeight="1">
      <c r="B8" s="84">
        <v>7</v>
      </c>
      <c r="C8" s="24">
        <v>22</v>
      </c>
      <c r="D8" s="82">
        <v>44728</v>
      </c>
      <c r="E8" s="26" t="s">
        <v>185</v>
      </c>
      <c r="F8" s="26" t="s">
        <v>598</v>
      </c>
      <c r="G8" s="26" t="s">
        <v>295</v>
      </c>
      <c r="H8" s="26" t="s">
        <v>295</v>
      </c>
      <c r="I8" s="79" t="s">
        <v>196</v>
      </c>
      <c r="J8" s="26" t="s">
        <v>189</v>
      </c>
      <c r="K8" s="29">
        <v>666000</v>
      </c>
      <c r="L8" s="29">
        <v>1000000</v>
      </c>
      <c r="M8" s="29">
        <v>1000000</v>
      </c>
      <c r="N8" s="125">
        <f>ROUNDDOWN(テーブル25678[[#This Row],[申請額]],-3)</f>
        <v>1000000</v>
      </c>
      <c r="O8" s="125">
        <v>1000000</v>
      </c>
      <c r="P8" s="125">
        <f>ROUNDDOWN(PRODUCT(テーブル25678[[#This Row],[市交付決定額]],2/3),-3)</f>
        <v>666000</v>
      </c>
      <c r="Q8" s="122" t="s">
        <v>650</v>
      </c>
      <c r="R8" s="28"/>
    </row>
    <row r="9" spans="2:18" s="19" customFormat="1" ht="30" customHeight="1">
      <c r="B9" s="84">
        <v>8</v>
      </c>
      <c r="C9" s="24">
        <v>23</v>
      </c>
      <c r="D9" s="82">
        <v>44728</v>
      </c>
      <c r="E9" s="26" t="s">
        <v>185</v>
      </c>
      <c r="F9" s="26" t="s">
        <v>598</v>
      </c>
      <c r="G9" s="26" t="s">
        <v>295</v>
      </c>
      <c r="H9" s="26" t="s">
        <v>295</v>
      </c>
      <c r="I9" s="79" t="s">
        <v>259</v>
      </c>
      <c r="J9" s="26" t="s">
        <v>75</v>
      </c>
      <c r="K9" s="29">
        <v>666000</v>
      </c>
      <c r="L9" s="29">
        <v>1000000</v>
      </c>
      <c r="M9" s="29">
        <v>1000000</v>
      </c>
      <c r="N9" s="125">
        <f>ROUNDDOWN(テーブル25678[[#This Row],[申請額]],-3)</f>
        <v>1000000</v>
      </c>
      <c r="O9" s="125">
        <v>1000000</v>
      </c>
      <c r="P9" s="125">
        <f>ROUNDDOWN(PRODUCT(テーブル25678[[#This Row],[市交付決定額]],2/3),-3)</f>
        <v>666000</v>
      </c>
      <c r="Q9" s="122" t="s">
        <v>650</v>
      </c>
      <c r="R9" s="28"/>
    </row>
    <row r="10" spans="2:18" s="19" customFormat="1" ht="30" customHeight="1">
      <c r="B10" s="84">
        <v>9</v>
      </c>
      <c r="C10" s="24">
        <v>24</v>
      </c>
      <c r="D10" s="82">
        <v>44728</v>
      </c>
      <c r="E10" s="26" t="s">
        <v>185</v>
      </c>
      <c r="F10" s="26" t="s">
        <v>598</v>
      </c>
      <c r="G10" s="26" t="s">
        <v>295</v>
      </c>
      <c r="H10" s="26" t="s">
        <v>295</v>
      </c>
      <c r="I10" s="79" t="s">
        <v>197</v>
      </c>
      <c r="J10" s="26" t="s">
        <v>75</v>
      </c>
      <c r="K10" s="29">
        <v>666000</v>
      </c>
      <c r="L10" s="29">
        <v>1000000</v>
      </c>
      <c r="M10" s="29">
        <v>1000000</v>
      </c>
      <c r="N10" s="125">
        <f>ROUNDDOWN(テーブル25678[[#This Row],[申請額]],-3)</f>
        <v>1000000</v>
      </c>
      <c r="O10" s="125">
        <v>1000000</v>
      </c>
      <c r="P10" s="125">
        <f>ROUNDDOWN(PRODUCT(テーブル25678[[#This Row],[市交付決定額]],2/3),-3)</f>
        <v>666000</v>
      </c>
      <c r="Q10" s="122" t="s">
        <v>650</v>
      </c>
      <c r="R10" s="28"/>
    </row>
    <row r="11" spans="2:18" s="19" customFormat="1" ht="30" customHeight="1">
      <c r="B11" s="84">
        <v>10</v>
      </c>
      <c r="C11" s="24">
        <v>25</v>
      </c>
      <c r="D11" s="82">
        <v>44725</v>
      </c>
      <c r="E11" s="26" t="s">
        <v>113</v>
      </c>
      <c r="F11" s="26" t="s">
        <v>597</v>
      </c>
      <c r="G11" s="26" t="s">
        <v>350</v>
      </c>
      <c r="H11" s="26" t="s">
        <v>623</v>
      </c>
      <c r="I11" s="79" t="s">
        <v>589</v>
      </c>
      <c r="J11" s="26" t="s">
        <v>189</v>
      </c>
      <c r="K11" s="29">
        <v>446000</v>
      </c>
      <c r="L11" s="29">
        <v>670450</v>
      </c>
      <c r="M11" s="29">
        <v>670450</v>
      </c>
      <c r="N11" s="125">
        <f>ROUNDDOWN(テーブル25678[[#This Row],[申請額]],-3)</f>
        <v>670000</v>
      </c>
      <c r="O11" s="125">
        <v>670000</v>
      </c>
      <c r="P11" s="125">
        <f>ROUNDDOWN(PRODUCT(テーブル25678[[#This Row],[市交付決定額]],2/3),-3)</f>
        <v>446000</v>
      </c>
      <c r="Q11" s="29" t="s">
        <v>643</v>
      </c>
      <c r="R11" s="28"/>
    </row>
    <row r="12" spans="2:18" s="19" customFormat="1" ht="30" customHeight="1">
      <c r="B12" s="84">
        <v>11</v>
      </c>
      <c r="C12" s="24">
        <v>26</v>
      </c>
      <c r="D12" s="82">
        <v>44725</v>
      </c>
      <c r="E12" s="26" t="s">
        <v>113</v>
      </c>
      <c r="F12" s="26" t="s">
        <v>596</v>
      </c>
      <c r="G12" s="26" t="s">
        <v>116</v>
      </c>
      <c r="H12" s="26" t="s">
        <v>623</v>
      </c>
      <c r="I12" s="79" t="s">
        <v>117</v>
      </c>
      <c r="J12" s="26" t="s">
        <v>110</v>
      </c>
      <c r="K12" s="29">
        <v>517000</v>
      </c>
      <c r="L12" s="29">
        <v>776820</v>
      </c>
      <c r="M12" s="29">
        <v>776820</v>
      </c>
      <c r="N12" s="125">
        <f>ROUNDDOWN(テーブル25678[[#This Row],[申請額]],-3)</f>
        <v>776000</v>
      </c>
      <c r="O12" s="125">
        <v>755000</v>
      </c>
      <c r="P12" s="125">
        <f>ROUNDDOWN(PRODUCT(テーブル25678[[#This Row],[市交付決定額]],2/3),-3)</f>
        <v>517000</v>
      </c>
      <c r="Q12" s="122" t="s">
        <v>642</v>
      </c>
      <c r="R12" s="28"/>
    </row>
    <row r="13" spans="2:18" s="19" customFormat="1" ht="30" customHeight="1">
      <c r="B13" s="84">
        <v>12</v>
      </c>
      <c r="C13" s="24">
        <v>27</v>
      </c>
      <c r="D13" s="82">
        <v>44725</v>
      </c>
      <c r="E13" s="26" t="s">
        <v>113</v>
      </c>
      <c r="F13" s="26" t="s">
        <v>596</v>
      </c>
      <c r="G13" s="26" t="s">
        <v>116</v>
      </c>
      <c r="H13" s="26" t="s">
        <v>623</v>
      </c>
      <c r="I13" s="79" t="s">
        <v>184</v>
      </c>
      <c r="J13" s="26" t="s">
        <v>75</v>
      </c>
      <c r="K13" s="29">
        <v>666000</v>
      </c>
      <c r="L13" s="29">
        <v>1000000</v>
      </c>
      <c r="M13" s="29">
        <v>1000000</v>
      </c>
      <c r="N13" s="125">
        <f>ROUNDDOWN(テーブル25678[[#This Row],[申請額]],-3)</f>
        <v>1000000</v>
      </c>
      <c r="O13" s="125">
        <v>1000000</v>
      </c>
      <c r="P13" s="125">
        <f>ROUNDDOWN(PRODUCT(テーブル25678[[#This Row],[市交付決定額]],2/3),-3)</f>
        <v>666000</v>
      </c>
      <c r="Q13" s="122" t="s">
        <v>653</v>
      </c>
      <c r="R13" s="28"/>
    </row>
    <row r="14" spans="2:18" s="19" customFormat="1" ht="30" customHeight="1">
      <c r="B14" s="84">
        <v>13</v>
      </c>
      <c r="C14" s="24">
        <v>28</v>
      </c>
      <c r="D14" s="82">
        <v>44725</v>
      </c>
      <c r="E14" s="26" t="s">
        <v>633</v>
      </c>
      <c r="F14" s="26" t="s">
        <v>647</v>
      </c>
      <c r="G14" s="26" t="s">
        <v>274</v>
      </c>
      <c r="H14" s="26" t="s">
        <v>274</v>
      </c>
      <c r="I14" s="79" t="s">
        <v>182</v>
      </c>
      <c r="J14" s="26" t="s">
        <v>75</v>
      </c>
      <c r="K14" s="29">
        <v>560000</v>
      </c>
      <c r="L14" s="29">
        <v>841030</v>
      </c>
      <c r="M14" s="29">
        <v>747130</v>
      </c>
      <c r="N14" s="125">
        <f>ROUNDDOWN(テーブル25678[[#This Row],[申請額]],-3)</f>
        <v>747000</v>
      </c>
      <c r="O14" s="125">
        <v>747000</v>
      </c>
      <c r="P14" s="125">
        <f>ROUNDDOWN(PRODUCT(テーブル25678[[#This Row],[市交付決定額]],2/3),-3)</f>
        <v>498000</v>
      </c>
      <c r="Q14" s="29" t="s">
        <v>641</v>
      </c>
      <c r="R14" s="28"/>
    </row>
    <row r="15" spans="2:18" s="19" customFormat="1" ht="30" customHeight="1">
      <c r="B15" s="84">
        <v>14</v>
      </c>
      <c r="C15" s="24">
        <v>29</v>
      </c>
      <c r="D15" s="82">
        <v>44749</v>
      </c>
      <c r="E15" s="120" t="s">
        <v>732</v>
      </c>
      <c r="F15" s="26" t="s">
        <v>592</v>
      </c>
      <c r="G15" s="26" t="s">
        <v>364</v>
      </c>
      <c r="H15" s="26" t="s">
        <v>364</v>
      </c>
      <c r="I15" s="79" t="s">
        <v>202</v>
      </c>
      <c r="J15" s="26" t="s">
        <v>75</v>
      </c>
      <c r="K15" s="29">
        <v>666000</v>
      </c>
      <c r="L15" s="29">
        <v>1000000</v>
      </c>
      <c r="M15" s="29">
        <v>658000</v>
      </c>
      <c r="N15" s="125">
        <f>ROUNDDOWN(テーブル25678[[#This Row],[申請額]],-3)</f>
        <v>658000</v>
      </c>
      <c r="O15" s="125">
        <v>658000</v>
      </c>
      <c r="P15" s="125">
        <f>ROUNDDOWN(PRODUCT(テーブル25678[[#This Row],[市交付決定額]],2/3),-3)</f>
        <v>438000</v>
      </c>
      <c r="Q15" s="122" t="s">
        <v>651</v>
      </c>
      <c r="R15" s="28"/>
    </row>
    <row r="16" spans="2:18" ht="30" customHeight="1">
      <c r="B16" s="84">
        <v>15</v>
      </c>
      <c r="C16" s="24"/>
      <c r="D16" s="82">
        <v>44722</v>
      </c>
      <c r="E16" s="120" t="s">
        <v>669</v>
      </c>
      <c r="F16" s="120" t="s">
        <v>673</v>
      </c>
      <c r="G16" s="120"/>
      <c r="H16" s="26" t="s">
        <v>635</v>
      </c>
      <c r="I16" s="121" t="s">
        <v>677</v>
      </c>
      <c r="J16" s="120" t="s">
        <v>675</v>
      </c>
      <c r="K16" s="29">
        <v>666000</v>
      </c>
      <c r="L16" s="29">
        <v>1000000</v>
      </c>
      <c r="M16" s="29">
        <v>1000000</v>
      </c>
      <c r="N16" s="125">
        <f>ROUNDDOWN(テーブル25678[[#This Row],[申請額]],-3)</f>
        <v>1000000</v>
      </c>
      <c r="O16" s="125"/>
      <c r="P16" s="125">
        <f>ROUNDDOWN(PRODUCT(テーブル25678[[#This Row],[市交付決定額]],2/3),-3)</f>
        <v>666000</v>
      </c>
      <c r="Q16" s="29"/>
      <c r="R16" s="120"/>
    </row>
    <row r="17" spans="2:18" ht="30" customHeight="1">
      <c r="B17" s="84">
        <v>16</v>
      </c>
      <c r="C17" s="24"/>
      <c r="D17" s="82">
        <v>44725</v>
      </c>
      <c r="E17" s="120" t="s">
        <v>682</v>
      </c>
      <c r="F17" s="120" t="s">
        <v>686</v>
      </c>
      <c r="G17" s="120"/>
      <c r="H17" s="120" t="s">
        <v>404</v>
      </c>
      <c r="I17" s="121" t="s">
        <v>206</v>
      </c>
      <c r="J17" s="120" t="s">
        <v>688</v>
      </c>
      <c r="K17" s="29">
        <v>343000</v>
      </c>
      <c r="L17" s="29">
        <v>515795</v>
      </c>
      <c r="M17" s="29">
        <v>155802</v>
      </c>
      <c r="N17" s="125">
        <f>ROUNDDOWN(テーブル25678[[#This Row],[申請額]],-3)</f>
        <v>155000</v>
      </c>
      <c r="O17" s="125"/>
      <c r="P17" s="125">
        <f>ROUNDDOWN(PRODUCT(テーブル25678[[#This Row],[市交付決定額]],2/3),-3)</f>
        <v>103000</v>
      </c>
      <c r="Q17" s="29"/>
      <c r="R17" s="120"/>
    </row>
    <row r="18" spans="2:18" ht="30" customHeight="1">
      <c r="B18" s="84">
        <v>17</v>
      </c>
      <c r="C18" s="24"/>
      <c r="D18" s="82">
        <v>44761</v>
      </c>
      <c r="E18" s="120" t="s">
        <v>682</v>
      </c>
      <c r="F18" s="120" t="s">
        <v>686</v>
      </c>
      <c r="G18" s="120"/>
      <c r="H18" s="120" t="s">
        <v>404</v>
      </c>
      <c r="I18" s="121" t="s">
        <v>210</v>
      </c>
      <c r="J18" s="120" t="s">
        <v>688</v>
      </c>
      <c r="K18" s="29">
        <v>666000</v>
      </c>
      <c r="L18" s="29">
        <v>1000000</v>
      </c>
      <c r="M18" s="29">
        <v>461119</v>
      </c>
      <c r="N18" s="125">
        <f>ROUNDDOWN(テーブル25678[[#This Row],[申請額]],-3)</f>
        <v>461000</v>
      </c>
      <c r="O18" s="125"/>
      <c r="P18" s="125">
        <f>ROUNDDOWN(PRODUCT(テーブル25678[[#This Row],[市交付決定額]],2/3),-3)</f>
        <v>307000</v>
      </c>
      <c r="Q18" s="29"/>
      <c r="R18" s="120"/>
    </row>
    <row r="19" spans="2:18" ht="30" customHeight="1">
      <c r="B19" s="84">
        <v>18</v>
      </c>
      <c r="C19" s="24"/>
      <c r="D19" s="82">
        <v>44726</v>
      </c>
      <c r="E19" s="120" t="s">
        <v>682</v>
      </c>
      <c r="F19" s="120" t="s">
        <v>686</v>
      </c>
      <c r="G19" s="120"/>
      <c r="H19" s="120" t="s">
        <v>404</v>
      </c>
      <c r="I19" s="121" t="s">
        <v>697</v>
      </c>
      <c r="J19" s="120" t="s">
        <v>695</v>
      </c>
      <c r="K19" s="29">
        <v>666000</v>
      </c>
      <c r="L19" s="29">
        <v>1000000</v>
      </c>
      <c r="M19" s="29">
        <v>1000000</v>
      </c>
      <c r="N19" s="125">
        <f>ROUNDDOWN(テーブル25678[[#This Row],[申請額]],-3)</f>
        <v>1000000</v>
      </c>
      <c r="O19" s="125"/>
      <c r="P19" s="125">
        <f>ROUNDDOWN(PRODUCT(テーブル25678[[#This Row],[市交付決定額]],2/3),-3)</f>
        <v>666000</v>
      </c>
      <c r="Q19" s="29"/>
      <c r="R19" s="120"/>
    </row>
    <row r="20" spans="2:18" ht="30" customHeight="1">
      <c r="B20" s="84">
        <v>19</v>
      </c>
      <c r="C20" s="24"/>
      <c r="D20" s="82">
        <v>44725</v>
      </c>
      <c r="E20" s="120" t="s">
        <v>682</v>
      </c>
      <c r="F20" s="120" t="s">
        <v>686</v>
      </c>
      <c r="G20" s="120"/>
      <c r="H20" s="120" t="s">
        <v>404</v>
      </c>
      <c r="I20" s="121" t="s">
        <v>701</v>
      </c>
      <c r="J20" s="120" t="s">
        <v>695</v>
      </c>
      <c r="K20" s="29">
        <v>588000</v>
      </c>
      <c r="L20" s="29">
        <v>882217</v>
      </c>
      <c r="M20" s="29">
        <v>637422</v>
      </c>
      <c r="N20" s="125">
        <f>ROUNDDOWN(テーブル25678[[#This Row],[申請額]],-3)</f>
        <v>637000</v>
      </c>
      <c r="O20" s="125"/>
      <c r="P20" s="125">
        <f>ROUNDDOWN(PRODUCT(テーブル25678[[#This Row],[市交付決定額]],2/3),-3)</f>
        <v>424000</v>
      </c>
      <c r="Q20" s="29"/>
      <c r="R20" s="120"/>
    </row>
    <row r="21" spans="2:18" ht="30" customHeight="1">
      <c r="B21" s="84">
        <v>20</v>
      </c>
      <c r="C21" s="24"/>
      <c r="D21" s="82">
        <v>44725</v>
      </c>
      <c r="E21" s="120" t="s">
        <v>682</v>
      </c>
      <c r="F21" s="120" t="s">
        <v>686</v>
      </c>
      <c r="G21" s="120"/>
      <c r="H21" s="120" t="s">
        <v>404</v>
      </c>
      <c r="I21" s="121" t="s">
        <v>704</v>
      </c>
      <c r="J21" s="120" t="s">
        <v>695</v>
      </c>
      <c r="K21" s="29">
        <v>637000</v>
      </c>
      <c r="L21" s="29">
        <v>956115</v>
      </c>
      <c r="M21" s="29">
        <v>643286</v>
      </c>
      <c r="N21" s="125">
        <f>ROUNDDOWN(テーブル25678[[#This Row],[申請額]],-3)</f>
        <v>643000</v>
      </c>
      <c r="O21" s="125"/>
      <c r="P21" s="125">
        <f>ROUNDDOWN(PRODUCT(テーブル25678[[#This Row],[市交付決定額]],2/3),-3)</f>
        <v>428000</v>
      </c>
      <c r="Q21" s="29"/>
      <c r="R21" s="120"/>
    </row>
    <row r="22" spans="2:18" ht="30" customHeight="1">
      <c r="B22" s="84">
        <v>21</v>
      </c>
      <c r="C22" s="24"/>
      <c r="D22" s="82">
        <v>44722</v>
      </c>
      <c r="E22" s="120" t="s">
        <v>682</v>
      </c>
      <c r="F22" s="120" t="s">
        <v>686</v>
      </c>
      <c r="G22" s="120"/>
      <c r="H22" s="120" t="s">
        <v>404</v>
      </c>
      <c r="I22" s="121" t="s">
        <v>707</v>
      </c>
      <c r="J22" s="120" t="s">
        <v>695</v>
      </c>
      <c r="K22" s="29">
        <v>666000</v>
      </c>
      <c r="L22" s="29">
        <v>1000000</v>
      </c>
      <c r="M22" s="29">
        <v>918308</v>
      </c>
      <c r="N22" s="125">
        <f>ROUNDDOWN(テーブル25678[[#This Row],[申請額]],-3)</f>
        <v>918000</v>
      </c>
      <c r="O22" s="125"/>
      <c r="P22" s="125">
        <f>ROUNDDOWN(PRODUCT(テーブル25678[[#This Row],[市交付決定額]],2/3),-3)</f>
        <v>612000</v>
      </c>
      <c r="Q22" s="29"/>
      <c r="R22" s="120"/>
    </row>
    <row r="23" spans="2:18" ht="30" customHeight="1">
      <c r="B23" s="84">
        <v>22</v>
      </c>
      <c r="C23" s="24"/>
      <c r="D23" s="82">
        <v>44726</v>
      </c>
      <c r="E23" s="120" t="s">
        <v>682</v>
      </c>
      <c r="F23" s="120" t="s">
        <v>686</v>
      </c>
      <c r="G23" s="120"/>
      <c r="H23" s="120" t="s">
        <v>404</v>
      </c>
      <c r="I23" s="121" t="s">
        <v>712</v>
      </c>
      <c r="J23" s="120" t="s">
        <v>710</v>
      </c>
      <c r="K23" s="29">
        <v>615000</v>
      </c>
      <c r="L23" s="29">
        <v>922843</v>
      </c>
      <c r="M23" s="29">
        <v>858045</v>
      </c>
      <c r="N23" s="125">
        <f>ROUNDDOWN(テーブル25678[[#This Row],[申請額]],-3)</f>
        <v>858000</v>
      </c>
      <c r="O23" s="125"/>
      <c r="P23" s="125">
        <f>ROUNDDOWN(PRODUCT(テーブル25678[[#This Row],[市交付決定額]],2/3),-3)</f>
        <v>572000</v>
      </c>
      <c r="Q23" s="29"/>
      <c r="R23" s="120"/>
    </row>
    <row r="24" spans="2:18" ht="30" customHeight="1">
      <c r="B24" s="84">
        <v>23</v>
      </c>
      <c r="C24" s="24"/>
      <c r="D24" s="82">
        <v>44761</v>
      </c>
      <c r="E24" s="120" t="s">
        <v>715</v>
      </c>
      <c r="F24" s="120" t="s">
        <v>686</v>
      </c>
      <c r="G24" s="120"/>
      <c r="H24" s="120" t="s">
        <v>404</v>
      </c>
      <c r="I24" s="121" t="s">
        <v>719</v>
      </c>
      <c r="J24" s="120" t="s">
        <v>717</v>
      </c>
      <c r="K24" s="29">
        <v>666000</v>
      </c>
      <c r="L24" s="29">
        <v>1000000</v>
      </c>
      <c r="M24" s="29">
        <v>554601</v>
      </c>
      <c r="N24" s="125">
        <f>ROUNDDOWN(テーブル25678[[#This Row],[申請額]],-3)</f>
        <v>554000</v>
      </c>
      <c r="O24" s="125"/>
      <c r="P24" s="125">
        <f>ROUNDDOWN(PRODUCT(テーブル25678[[#This Row],[市交付決定額]],2/3),-3)</f>
        <v>369000</v>
      </c>
      <c r="Q24" s="29"/>
      <c r="R24" s="120"/>
    </row>
    <row r="25" spans="2:18" ht="30" customHeight="1">
      <c r="B25" s="84">
        <v>24</v>
      </c>
      <c r="C25" s="24"/>
      <c r="D25" s="82">
        <v>44726</v>
      </c>
      <c r="E25" s="120" t="s">
        <v>723</v>
      </c>
      <c r="F25" s="120" t="s">
        <v>727</v>
      </c>
      <c r="G25" s="120"/>
      <c r="H25" s="120" t="s">
        <v>445</v>
      </c>
      <c r="I25" s="121" t="s">
        <v>234</v>
      </c>
      <c r="J25" s="120" t="s">
        <v>695</v>
      </c>
      <c r="K25" s="29">
        <v>666000</v>
      </c>
      <c r="L25" s="29">
        <v>1000000</v>
      </c>
      <c r="M25" s="29">
        <v>1000000</v>
      </c>
      <c r="N25" s="125">
        <f>ROUNDDOWN(テーブル25678[[#This Row],[申請額]],-3)</f>
        <v>1000000</v>
      </c>
      <c r="O25" s="125"/>
      <c r="P25" s="125">
        <f>ROUNDDOWN(PRODUCT(テーブル25678[[#This Row],[市交付決定額]],2/3),-3)</f>
        <v>666000</v>
      </c>
      <c r="Q25" s="29"/>
      <c r="R25" s="120"/>
    </row>
    <row r="26" spans="2:18" ht="30" customHeight="1">
      <c r="B26" s="84">
        <v>25</v>
      </c>
      <c r="C26" s="24"/>
      <c r="D26" s="82">
        <v>44749</v>
      </c>
      <c r="E26" s="120" t="s">
        <v>732</v>
      </c>
      <c r="F26" s="120" t="s">
        <v>736</v>
      </c>
      <c r="G26" s="120"/>
      <c r="H26" s="120" t="s">
        <v>364</v>
      </c>
      <c r="I26" s="121" t="s">
        <v>850</v>
      </c>
      <c r="J26" s="120" t="s">
        <v>717</v>
      </c>
      <c r="K26" s="29">
        <v>666000</v>
      </c>
      <c r="L26" s="29">
        <v>1000000</v>
      </c>
      <c r="M26" s="29">
        <v>434000</v>
      </c>
      <c r="N26" s="125">
        <f>ROUNDDOWN(テーブル25678[[#This Row],[申請額]],-3)</f>
        <v>434000</v>
      </c>
      <c r="O26" s="125"/>
      <c r="P26" s="125">
        <f>ROUNDDOWN(PRODUCT(テーブル25678[[#This Row],[市交付決定額]],2/3),-3)</f>
        <v>289000</v>
      </c>
      <c r="Q26" s="29"/>
      <c r="R26" s="120"/>
    </row>
    <row r="27" spans="2:18" ht="30" customHeight="1">
      <c r="B27" s="84">
        <v>26</v>
      </c>
      <c r="C27" s="24"/>
      <c r="D27" s="82">
        <v>44749</v>
      </c>
      <c r="E27" s="120" t="s">
        <v>732</v>
      </c>
      <c r="F27" s="120" t="s">
        <v>740</v>
      </c>
      <c r="G27" s="120"/>
      <c r="H27" s="120" t="s">
        <v>364</v>
      </c>
      <c r="I27" s="121" t="s">
        <v>742</v>
      </c>
      <c r="J27" s="120" t="s">
        <v>710</v>
      </c>
      <c r="K27" s="29">
        <v>666000</v>
      </c>
      <c r="L27" s="29">
        <v>1000000</v>
      </c>
      <c r="M27" s="29">
        <v>644000</v>
      </c>
      <c r="N27" s="125">
        <f>ROUNDDOWN(テーブル25678[[#This Row],[申請額]],-3)</f>
        <v>644000</v>
      </c>
      <c r="O27" s="125"/>
      <c r="P27" s="125">
        <f>ROUNDDOWN(PRODUCT(テーブル25678[[#This Row],[市交付決定額]],2/3),-3)</f>
        <v>429000</v>
      </c>
      <c r="Q27" s="29"/>
      <c r="R27" s="120"/>
    </row>
    <row r="28" spans="2:18" ht="30" customHeight="1">
      <c r="B28" s="84">
        <v>27</v>
      </c>
      <c r="C28" s="24"/>
      <c r="D28" s="82">
        <v>44722</v>
      </c>
      <c r="E28" s="120" t="s">
        <v>745</v>
      </c>
      <c r="F28" s="120" t="s">
        <v>749</v>
      </c>
      <c r="G28" s="120"/>
      <c r="H28" s="120" t="s">
        <v>382</v>
      </c>
      <c r="I28" s="121" t="s">
        <v>753</v>
      </c>
      <c r="J28" s="120" t="s">
        <v>751</v>
      </c>
      <c r="K28" s="29">
        <v>235000</v>
      </c>
      <c r="L28" s="29">
        <v>353088</v>
      </c>
      <c r="M28" s="29">
        <v>117696</v>
      </c>
      <c r="N28" s="125">
        <f>ROUNDDOWN(テーブル25678[[#This Row],[申請額]],-3)</f>
        <v>117000</v>
      </c>
      <c r="O28" s="125"/>
      <c r="P28" s="125">
        <f>ROUNDDOWN(PRODUCT(テーブル25678[[#This Row],[市交付決定額]],2/3),-3)</f>
        <v>78000</v>
      </c>
      <c r="Q28" s="29"/>
      <c r="R28" s="120"/>
    </row>
    <row r="29" spans="2:18" ht="30" customHeight="1">
      <c r="B29" s="84">
        <v>28</v>
      </c>
      <c r="C29" s="24"/>
      <c r="D29" s="82">
        <v>44722</v>
      </c>
      <c r="E29" s="120" t="s">
        <v>756</v>
      </c>
      <c r="F29" s="120" t="s">
        <v>760</v>
      </c>
      <c r="G29" s="120"/>
      <c r="H29" s="120" t="s">
        <v>511</v>
      </c>
      <c r="I29" s="121" t="s">
        <v>248</v>
      </c>
      <c r="J29" s="120" t="s">
        <v>695</v>
      </c>
      <c r="K29" s="29">
        <v>666000</v>
      </c>
      <c r="L29" s="29">
        <v>1000000</v>
      </c>
      <c r="M29" s="29">
        <v>1000000</v>
      </c>
      <c r="N29" s="125">
        <f>ROUNDDOWN(テーブル25678[[#This Row],[申請額]],-3)</f>
        <v>1000000</v>
      </c>
      <c r="O29" s="125"/>
      <c r="P29" s="125">
        <f>ROUNDDOWN(PRODUCT(テーブル25678[[#This Row],[市交付決定額]],2/3),-3)</f>
        <v>666000</v>
      </c>
      <c r="Q29" s="29"/>
      <c r="R29" s="120"/>
    </row>
    <row r="30" spans="2:18" ht="30" customHeight="1">
      <c r="B30" s="84">
        <v>29</v>
      </c>
      <c r="C30" s="24"/>
      <c r="D30" s="82">
        <v>44725</v>
      </c>
      <c r="E30" s="120" t="s">
        <v>764</v>
      </c>
      <c r="F30" s="120" t="s">
        <v>768</v>
      </c>
      <c r="G30" s="120"/>
      <c r="H30" s="26" t="s">
        <v>426</v>
      </c>
      <c r="I30" s="121" t="s">
        <v>240</v>
      </c>
      <c r="J30" s="120" t="s">
        <v>770</v>
      </c>
      <c r="K30" s="29">
        <v>122000</v>
      </c>
      <c r="L30" s="29">
        <v>184300</v>
      </c>
      <c r="M30" s="29">
        <v>184300</v>
      </c>
      <c r="N30" s="125">
        <f>ROUNDDOWN(テーブル25678[[#This Row],[申請額]],-3)</f>
        <v>184000</v>
      </c>
      <c r="O30" s="125"/>
      <c r="P30" s="125">
        <f>ROUNDDOWN(PRODUCT(テーブル25678[[#This Row],[市交付決定額]],2/3),-3)</f>
        <v>122000</v>
      </c>
      <c r="Q30" s="29"/>
      <c r="R30" s="120"/>
    </row>
    <row r="31" spans="2:18" ht="30" customHeight="1">
      <c r="B31" s="84">
        <v>30</v>
      </c>
      <c r="C31" s="24"/>
      <c r="D31" s="82">
        <v>44725</v>
      </c>
      <c r="E31" s="120" t="s">
        <v>849</v>
      </c>
      <c r="F31" s="120" t="s">
        <v>768</v>
      </c>
      <c r="G31" s="120"/>
      <c r="H31" s="120" t="s">
        <v>426</v>
      </c>
      <c r="I31" s="121" t="s">
        <v>242</v>
      </c>
      <c r="J31" s="120" t="s">
        <v>717</v>
      </c>
      <c r="K31" s="29">
        <v>25000</v>
      </c>
      <c r="L31" s="29">
        <v>37960</v>
      </c>
      <c r="M31" s="29">
        <v>37960</v>
      </c>
      <c r="N31" s="125">
        <f>ROUNDDOWN(テーブル25678[[#This Row],[申請額]],-3)</f>
        <v>37000</v>
      </c>
      <c r="O31" s="125"/>
      <c r="P31" s="125">
        <f>ROUNDDOWN(PRODUCT(テーブル25678[[#This Row],[市交付決定額]],2/3),-3)</f>
        <v>24000</v>
      </c>
      <c r="Q31" s="29"/>
      <c r="R31" s="120"/>
    </row>
    <row r="32" spans="2:18" ht="30" customHeight="1">
      <c r="B32" s="84">
        <v>31</v>
      </c>
      <c r="C32" s="24"/>
      <c r="D32" s="82">
        <v>44725</v>
      </c>
      <c r="E32" s="120" t="s">
        <v>764</v>
      </c>
      <c r="F32" s="120" t="s">
        <v>768</v>
      </c>
      <c r="G32" s="120"/>
      <c r="H32" s="120" t="s">
        <v>426</v>
      </c>
      <c r="I32" s="121" t="s">
        <v>779</v>
      </c>
      <c r="J32" s="120" t="s">
        <v>710</v>
      </c>
      <c r="K32" s="29">
        <v>50000</v>
      </c>
      <c r="L32" s="29">
        <v>75920</v>
      </c>
      <c r="M32" s="29">
        <v>75920</v>
      </c>
      <c r="N32" s="125">
        <f>ROUNDDOWN(テーブル25678[[#This Row],[申請額]],-3)</f>
        <v>75000</v>
      </c>
      <c r="O32" s="125"/>
      <c r="P32" s="125">
        <f>ROUNDDOWN(PRODUCT(テーブル25678[[#This Row],[市交付決定額]],2/3),-3)</f>
        <v>50000</v>
      </c>
      <c r="Q32" s="29"/>
      <c r="R32" s="120"/>
    </row>
    <row r="33" spans="2:18" ht="30" customHeight="1">
      <c r="B33" s="84">
        <v>32</v>
      </c>
      <c r="C33" s="24"/>
      <c r="D33" s="82">
        <v>44723</v>
      </c>
      <c r="E33" s="120" t="s">
        <v>764</v>
      </c>
      <c r="F33" s="120" t="s">
        <v>768</v>
      </c>
      <c r="G33" s="120"/>
      <c r="H33" s="120" t="s">
        <v>426</v>
      </c>
      <c r="I33" s="121" t="s">
        <v>237</v>
      </c>
      <c r="J33" s="120" t="s">
        <v>781</v>
      </c>
      <c r="K33" s="29">
        <v>220000</v>
      </c>
      <c r="L33" s="29">
        <v>330640</v>
      </c>
      <c r="M33" s="29">
        <v>330640</v>
      </c>
      <c r="N33" s="125">
        <f>ROUNDDOWN(テーブル25678[[#This Row],[申請額]],-3)</f>
        <v>330000</v>
      </c>
      <c r="O33" s="125"/>
      <c r="P33" s="125">
        <f>ROUNDDOWN(PRODUCT(テーブル25678[[#This Row],[市交付決定額]],2/3),-3)</f>
        <v>220000</v>
      </c>
      <c r="Q33" s="29"/>
      <c r="R33" s="120"/>
    </row>
    <row r="34" spans="2:18" ht="30" customHeight="1">
      <c r="B34" s="84">
        <v>33</v>
      </c>
      <c r="C34" s="24"/>
      <c r="D34" s="82">
        <v>44723</v>
      </c>
      <c r="E34" s="120" t="s">
        <v>764</v>
      </c>
      <c r="F34" s="120" t="s">
        <v>768</v>
      </c>
      <c r="G34" s="120"/>
      <c r="H34" s="120" t="s">
        <v>426</v>
      </c>
      <c r="I34" s="121" t="s">
        <v>238</v>
      </c>
      <c r="J34" s="120" t="s">
        <v>781</v>
      </c>
      <c r="K34" s="29">
        <v>155000</v>
      </c>
      <c r="L34" s="29">
        <v>233080</v>
      </c>
      <c r="M34" s="29">
        <v>233080</v>
      </c>
      <c r="N34" s="125">
        <f>ROUNDDOWN(テーブル25678[[#This Row],[申請額]],-3)</f>
        <v>233000</v>
      </c>
      <c r="O34" s="125"/>
      <c r="P34" s="125">
        <f>ROUNDDOWN(PRODUCT(テーブル25678[[#This Row],[市交付決定額]],2/3),-3)</f>
        <v>155000</v>
      </c>
      <c r="Q34" s="29"/>
      <c r="R34" s="120"/>
    </row>
    <row r="35" spans="2:18" ht="30" customHeight="1">
      <c r="B35" s="84">
        <v>34</v>
      </c>
      <c r="C35" s="24"/>
      <c r="D35" s="82">
        <v>44723</v>
      </c>
      <c r="E35" s="120" t="s">
        <v>764</v>
      </c>
      <c r="F35" s="120" t="s">
        <v>768</v>
      </c>
      <c r="G35" s="120"/>
      <c r="H35" s="120" t="s">
        <v>426</v>
      </c>
      <c r="I35" s="121" t="s">
        <v>239</v>
      </c>
      <c r="J35" s="120" t="s">
        <v>781</v>
      </c>
      <c r="K35" s="29">
        <v>187000</v>
      </c>
      <c r="L35" s="29">
        <v>281860</v>
      </c>
      <c r="M35" s="29">
        <v>281860</v>
      </c>
      <c r="N35" s="125">
        <f>ROUNDDOWN(テーブル25678[[#This Row],[申請額]],-3)</f>
        <v>281000</v>
      </c>
      <c r="O35" s="125"/>
      <c r="P35" s="125">
        <f>ROUNDDOWN(PRODUCT(テーブル25678[[#This Row],[市交付決定額]],2/3),-3)</f>
        <v>187000</v>
      </c>
      <c r="Q35" s="29"/>
      <c r="R35" s="120"/>
    </row>
    <row r="36" spans="2:18" ht="30" customHeight="1">
      <c r="B36" s="84">
        <v>35</v>
      </c>
      <c r="C36" s="24"/>
      <c r="D36" s="82">
        <v>44722</v>
      </c>
      <c r="E36" s="120" t="s">
        <v>787</v>
      </c>
      <c r="F36" s="120" t="s">
        <v>791</v>
      </c>
      <c r="G36" s="120"/>
      <c r="H36" s="120" t="s">
        <v>295</v>
      </c>
      <c r="I36" s="121" t="s">
        <v>243</v>
      </c>
      <c r="J36" s="120" t="s">
        <v>717</v>
      </c>
      <c r="K36" s="29">
        <v>407000</v>
      </c>
      <c r="L36" s="29">
        <v>611380</v>
      </c>
      <c r="M36" s="29">
        <v>611380</v>
      </c>
      <c r="N36" s="125">
        <f>ROUNDDOWN(テーブル25678[[#This Row],[申請額]],-3)</f>
        <v>611000</v>
      </c>
      <c r="O36" s="125"/>
      <c r="P36" s="125">
        <f>ROUNDDOWN(PRODUCT(テーブル25678[[#This Row],[市交付決定額]],2/3),-3)</f>
        <v>407000</v>
      </c>
      <c r="Q36" s="29"/>
      <c r="R36" s="120"/>
    </row>
    <row r="37" spans="2:18" ht="30" customHeight="1">
      <c r="B37" s="84">
        <v>36</v>
      </c>
      <c r="C37" s="24"/>
      <c r="D37" s="82">
        <v>44721</v>
      </c>
      <c r="E37" s="120" t="s">
        <v>795</v>
      </c>
      <c r="F37" s="120" t="s">
        <v>799</v>
      </c>
      <c r="G37" s="120"/>
      <c r="H37" s="26" t="s">
        <v>414</v>
      </c>
      <c r="I37" s="121" t="s">
        <v>801</v>
      </c>
      <c r="J37" s="120" t="s">
        <v>717</v>
      </c>
      <c r="K37" s="29">
        <v>444000</v>
      </c>
      <c r="L37" s="29">
        <v>666600</v>
      </c>
      <c r="M37" s="29">
        <v>666600</v>
      </c>
      <c r="N37" s="125">
        <f>ROUNDDOWN(テーブル25678[[#This Row],[申請額]],-3)</f>
        <v>666000</v>
      </c>
      <c r="O37" s="125"/>
      <c r="P37" s="125">
        <f>ROUNDDOWN(PRODUCT(テーブル25678[[#This Row],[市交付決定額]],2/3),-3)</f>
        <v>444000</v>
      </c>
      <c r="Q37" s="29"/>
      <c r="R37" s="120"/>
    </row>
    <row r="38" spans="2:18" ht="30" customHeight="1">
      <c r="B38" s="84">
        <v>37</v>
      </c>
      <c r="C38" s="24"/>
      <c r="D38" s="82">
        <v>44714</v>
      </c>
      <c r="E38" s="120" t="s">
        <v>804</v>
      </c>
      <c r="F38" s="120" t="s">
        <v>808</v>
      </c>
      <c r="G38" s="120"/>
      <c r="H38" s="120" t="s">
        <v>407</v>
      </c>
      <c r="I38" s="121" t="s">
        <v>810</v>
      </c>
      <c r="J38" s="120" t="s">
        <v>710</v>
      </c>
      <c r="K38" s="29">
        <v>516000</v>
      </c>
      <c r="L38" s="29">
        <v>774060</v>
      </c>
      <c r="M38" s="29">
        <v>772830</v>
      </c>
      <c r="N38" s="125">
        <f>ROUNDDOWN(テーブル25678[[#This Row],[申請額]],-3)</f>
        <v>772000</v>
      </c>
      <c r="O38" s="125"/>
      <c r="P38" s="125">
        <f>ROUNDDOWN(PRODUCT(テーブル25678[[#This Row],[市交付決定額]],2/3),-3)</f>
        <v>514000</v>
      </c>
      <c r="Q38" s="29"/>
      <c r="R38" s="120"/>
    </row>
    <row r="39" spans="2:18" ht="30" customHeight="1">
      <c r="B39" s="84">
        <v>38</v>
      </c>
      <c r="C39" s="24"/>
      <c r="D39" s="82">
        <v>44715</v>
      </c>
      <c r="E39" s="120" t="s">
        <v>813</v>
      </c>
      <c r="F39" s="120" t="s">
        <v>817</v>
      </c>
      <c r="G39" s="120"/>
      <c r="H39" s="120" t="s">
        <v>437</v>
      </c>
      <c r="I39" s="121" t="s">
        <v>819</v>
      </c>
      <c r="J39" s="120" t="s">
        <v>710</v>
      </c>
      <c r="K39" s="29">
        <v>144000</v>
      </c>
      <c r="L39" s="29">
        <v>216474</v>
      </c>
      <c r="M39" s="29">
        <v>199100</v>
      </c>
      <c r="N39" s="125">
        <f>ROUNDDOWN(テーブル25678[[#This Row],[申請額]],-3)</f>
        <v>199000</v>
      </c>
      <c r="O39" s="125"/>
      <c r="P39" s="125">
        <f>ROUNDDOWN(PRODUCT(テーブル25678[[#This Row],[市交付決定額]],2/3),-3)</f>
        <v>132000</v>
      </c>
      <c r="Q39" s="29"/>
      <c r="R39" s="120"/>
    </row>
    <row r="40" spans="2:18" ht="30" customHeight="1">
      <c r="B40" s="84">
        <v>39</v>
      </c>
      <c r="C40" s="24"/>
      <c r="D40" s="82">
        <v>44725</v>
      </c>
      <c r="E40" s="120" t="s">
        <v>224</v>
      </c>
      <c r="F40" s="120" t="s">
        <v>825</v>
      </c>
      <c r="G40" s="120"/>
      <c r="H40" s="120" t="s">
        <v>394</v>
      </c>
      <c r="I40" s="121" t="s">
        <v>827</v>
      </c>
      <c r="J40" s="120" t="s">
        <v>781</v>
      </c>
      <c r="K40" s="29">
        <v>666000</v>
      </c>
      <c r="L40" s="29">
        <v>1000000</v>
      </c>
      <c r="M40" s="29">
        <v>863614</v>
      </c>
      <c r="N40" s="125">
        <f>ROUNDDOWN(テーブル25678[[#This Row],[申請額]],-3)</f>
        <v>863000</v>
      </c>
      <c r="O40" s="125"/>
      <c r="P40" s="125">
        <f>ROUNDDOWN(PRODUCT(テーブル25678[[#This Row],[市交付決定額]],2/3),-3)</f>
        <v>575000</v>
      </c>
      <c r="Q40" s="29"/>
      <c r="R40" s="120"/>
    </row>
    <row r="41" spans="2:18" ht="30" customHeight="1">
      <c r="B41" s="84">
        <v>40</v>
      </c>
      <c r="C41" s="24"/>
      <c r="D41" s="82">
        <v>44721</v>
      </c>
      <c r="E41" s="120" t="s">
        <v>830</v>
      </c>
      <c r="F41" s="120" t="s">
        <v>834</v>
      </c>
      <c r="G41" s="120"/>
      <c r="H41" s="120" t="s">
        <v>357</v>
      </c>
      <c r="I41" s="121" t="s">
        <v>250</v>
      </c>
      <c r="J41" s="120" t="s">
        <v>781</v>
      </c>
      <c r="K41" s="29">
        <v>666000</v>
      </c>
      <c r="L41" s="29">
        <v>1000000</v>
      </c>
      <c r="M41" s="29">
        <v>1000000</v>
      </c>
      <c r="N41" s="125">
        <f>ROUNDDOWN(テーブル25678[[#This Row],[申請額]],-3)</f>
        <v>1000000</v>
      </c>
      <c r="O41" s="125"/>
      <c r="P41" s="125">
        <f>ROUNDDOWN(PRODUCT(テーブル25678[[#This Row],[市交付決定額]],2/3),-3)</f>
        <v>666000</v>
      </c>
      <c r="Q41" s="29"/>
      <c r="R41" s="120"/>
    </row>
    <row r="42" spans="2:18" ht="30" customHeight="1">
      <c r="B42" s="84">
        <v>41</v>
      </c>
      <c r="C42" s="24"/>
      <c r="D42" s="82">
        <v>44721</v>
      </c>
      <c r="E42" s="120" t="s">
        <v>830</v>
      </c>
      <c r="F42" s="120" t="s">
        <v>834</v>
      </c>
      <c r="G42" s="120"/>
      <c r="H42" s="120" t="s">
        <v>357</v>
      </c>
      <c r="I42" s="121" t="s">
        <v>252</v>
      </c>
      <c r="J42" s="120" t="s">
        <v>837</v>
      </c>
      <c r="K42" s="29">
        <v>666000</v>
      </c>
      <c r="L42" s="29">
        <v>1000000</v>
      </c>
      <c r="M42" s="29">
        <v>1000000</v>
      </c>
      <c r="N42" s="125">
        <f>ROUNDDOWN(テーブル25678[[#This Row],[申請額]],-3)</f>
        <v>1000000</v>
      </c>
      <c r="O42" s="125"/>
      <c r="P42" s="125">
        <f>ROUNDDOWN(PRODUCT(テーブル25678[[#This Row],[市交付決定額]],2/3),-3)</f>
        <v>666000</v>
      </c>
      <c r="Q42" s="29"/>
      <c r="R42" s="120"/>
    </row>
    <row r="43" spans="2:18" ht="30" customHeight="1">
      <c r="B43" s="84">
        <v>42</v>
      </c>
      <c r="C43" s="24"/>
      <c r="D43" s="82">
        <v>44721</v>
      </c>
      <c r="E43" s="120" t="s">
        <v>830</v>
      </c>
      <c r="F43" s="120" t="s">
        <v>834</v>
      </c>
      <c r="G43" s="120"/>
      <c r="H43" s="120" t="s">
        <v>357</v>
      </c>
      <c r="I43" s="121" t="s">
        <v>537</v>
      </c>
      <c r="J43" s="120" t="s">
        <v>781</v>
      </c>
      <c r="K43" s="29">
        <v>666000</v>
      </c>
      <c r="L43" s="29">
        <v>1000000</v>
      </c>
      <c r="M43" s="29">
        <v>1000000</v>
      </c>
      <c r="N43" s="125">
        <f>ROUNDDOWN(テーブル25678[[#This Row],[申請額]],-3)</f>
        <v>1000000</v>
      </c>
      <c r="O43" s="125"/>
      <c r="P43" s="125">
        <f>ROUNDDOWN(PRODUCT(テーブル25678[[#This Row],[市交付決定額]],2/3),-3)</f>
        <v>666000</v>
      </c>
      <c r="Q43" s="29"/>
      <c r="R43" s="120"/>
    </row>
    <row r="44" spans="2:18" ht="30" customHeight="1">
      <c r="B44" s="84">
        <v>43</v>
      </c>
      <c r="C44" s="24"/>
      <c r="D44" s="82">
        <v>44721</v>
      </c>
      <c r="E44" s="120" t="s">
        <v>830</v>
      </c>
      <c r="F44" s="120" t="s">
        <v>834</v>
      </c>
      <c r="G44" s="120"/>
      <c r="H44" s="120" t="s">
        <v>357</v>
      </c>
      <c r="I44" s="121" t="s">
        <v>543</v>
      </c>
      <c r="J44" s="120" t="s">
        <v>781</v>
      </c>
      <c r="K44" s="29">
        <v>666000</v>
      </c>
      <c r="L44" s="29">
        <v>1000000</v>
      </c>
      <c r="M44" s="29">
        <v>1000000</v>
      </c>
      <c r="N44" s="125">
        <f>ROUNDDOWN(テーブル25678[[#This Row],[申請額]],-3)</f>
        <v>1000000</v>
      </c>
      <c r="O44" s="125"/>
      <c r="P44" s="125">
        <f>ROUNDDOWN(PRODUCT(テーブル25678[[#This Row],[市交付決定額]],2/3),-3)</f>
        <v>666000</v>
      </c>
      <c r="Q44" s="29"/>
      <c r="R44" s="120"/>
    </row>
    <row r="45" spans="2:18" ht="30" customHeight="1">
      <c r="B45" s="84">
        <v>44</v>
      </c>
      <c r="C45" s="24"/>
      <c r="D45" s="82">
        <v>44721</v>
      </c>
      <c r="E45" s="120" t="s">
        <v>830</v>
      </c>
      <c r="F45" s="120" t="s">
        <v>834</v>
      </c>
      <c r="G45" s="120"/>
      <c r="H45" s="120" t="s">
        <v>357</v>
      </c>
      <c r="I45" s="121" t="s">
        <v>548</v>
      </c>
      <c r="J45" s="120" t="s">
        <v>781</v>
      </c>
      <c r="K45" s="29">
        <v>666000</v>
      </c>
      <c r="L45" s="29">
        <v>1000000</v>
      </c>
      <c r="M45" s="29">
        <v>1000000</v>
      </c>
      <c r="N45" s="125">
        <f>ROUNDDOWN(テーブル25678[[#This Row],[申請額]],-3)</f>
        <v>1000000</v>
      </c>
      <c r="O45" s="125"/>
      <c r="P45" s="125">
        <f>ROUNDDOWN(PRODUCT(テーブル25678[[#This Row],[市交付決定額]],2/3),-3)</f>
        <v>666000</v>
      </c>
      <c r="Q45" s="29"/>
      <c r="R45" s="120"/>
    </row>
    <row r="46" spans="2:18" ht="30" customHeight="1">
      <c r="B46" s="84">
        <v>45</v>
      </c>
      <c r="C46" s="24"/>
      <c r="D46" s="82">
        <v>44721</v>
      </c>
      <c r="E46" s="120" t="s">
        <v>830</v>
      </c>
      <c r="F46" s="120" t="s">
        <v>834</v>
      </c>
      <c r="G46" s="120"/>
      <c r="H46" s="120" t="s">
        <v>357</v>
      </c>
      <c r="I46" s="121" t="s">
        <v>613</v>
      </c>
      <c r="J46" s="120" t="s">
        <v>837</v>
      </c>
      <c r="K46" s="29">
        <v>666000</v>
      </c>
      <c r="L46" s="29">
        <v>1000000</v>
      </c>
      <c r="M46" s="29">
        <v>1000000</v>
      </c>
      <c r="N46" s="125">
        <f>ROUNDDOWN(テーブル25678[[#This Row],[申請額]],-3)</f>
        <v>1000000</v>
      </c>
      <c r="O46" s="125"/>
      <c r="P46" s="125">
        <f>ROUNDDOWN(PRODUCT(テーブル25678[[#This Row],[市交付決定額]],2/3),-3)</f>
        <v>666000</v>
      </c>
      <c r="Q46" s="29"/>
      <c r="R46" s="120"/>
    </row>
    <row r="47" spans="2:18" ht="30" customHeight="1">
      <c r="B47" s="84">
        <v>46</v>
      </c>
      <c r="C47" s="24"/>
      <c r="D47" s="82">
        <v>44717</v>
      </c>
      <c r="E47" s="120" t="s">
        <v>840</v>
      </c>
      <c r="F47" s="120" t="s">
        <v>844</v>
      </c>
      <c r="G47" s="120"/>
      <c r="H47" s="26" t="s">
        <v>417</v>
      </c>
      <c r="I47" s="121" t="s">
        <v>846</v>
      </c>
      <c r="J47" s="120" t="s">
        <v>688</v>
      </c>
      <c r="K47" s="29">
        <v>666000</v>
      </c>
      <c r="L47" s="29">
        <v>1000000</v>
      </c>
      <c r="M47" s="29">
        <v>1000000</v>
      </c>
      <c r="N47" s="125">
        <f>ROUNDDOWN(テーブル25678[[#This Row],[申請額]],-3)</f>
        <v>1000000</v>
      </c>
      <c r="O47" s="125"/>
      <c r="P47" s="125">
        <f>ROUNDDOWN(PRODUCT(テーブル25678[[#This Row],[市交付決定額]],2/3),-3)</f>
        <v>666000</v>
      </c>
      <c r="Q47" s="29"/>
      <c r="R47" s="120"/>
    </row>
    <row r="48" spans="2:18" ht="30" customHeight="1">
      <c r="B48" s="84">
        <v>47</v>
      </c>
      <c r="C48" s="24"/>
      <c r="D48" s="82"/>
      <c r="E48" s="120" t="s">
        <v>830</v>
      </c>
      <c r="F48" s="120"/>
      <c r="G48" s="120"/>
      <c r="H48" s="120"/>
      <c r="I48" s="121" t="s">
        <v>869</v>
      </c>
      <c r="J48" s="120" t="s">
        <v>781</v>
      </c>
      <c r="K48" s="29">
        <v>666000</v>
      </c>
      <c r="L48" s="29">
        <v>1000000</v>
      </c>
      <c r="M48" s="29">
        <v>0</v>
      </c>
      <c r="N48" s="29">
        <f>ROUNDDOWN(テーブル25678[[#This Row],[申請額]],-3)</f>
        <v>0</v>
      </c>
      <c r="O48" s="29"/>
      <c r="P48" s="125">
        <f>ROUNDDOWN(PRODUCT(テーブル25678[[#This Row],[市交付決定額]],2/3),-3)</f>
        <v>0</v>
      </c>
      <c r="Q48" s="29"/>
      <c r="R48" s="120"/>
    </row>
    <row r="49" spans="2:18" ht="30" customHeight="1">
      <c r="B49" s="84">
        <v>48</v>
      </c>
      <c r="C49" s="24"/>
      <c r="D49" s="82"/>
      <c r="E49" s="120" t="s">
        <v>830</v>
      </c>
      <c r="F49" s="120"/>
      <c r="G49" s="120"/>
      <c r="H49" s="120"/>
      <c r="I49" s="121" t="s">
        <v>870</v>
      </c>
      <c r="J49" s="120" t="s">
        <v>781</v>
      </c>
      <c r="K49" s="29">
        <v>666000</v>
      </c>
      <c r="L49" s="29">
        <v>1000000</v>
      </c>
      <c r="M49" s="29">
        <v>0</v>
      </c>
      <c r="N49" s="29">
        <f>ROUNDDOWN(テーブル25678[[#This Row],[申請額]],-3)</f>
        <v>0</v>
      </c>
      <c r="O49" s="29"/>
      <c r="P49" s="125">
        <f>ROUNDDOWN(PRODUCT(テーブル25678[[#This Row],[市交付決定額]],2/3),-3)</f>
        <v>0</v>
      </c>
      <c r="Q49" s="29"/>
      <c r="R49" s="120"/>
    </row>
    <row r="50" spans="2:18" ht="30" customHeight="1">
      <c r="B50" s="84">
        <v>49</v>
      </c>
      <c r="C50" s="24"/>
      <c r="D50" s="82"/>
      <c r="E50" s="120" t="s">
        <v>867</v>
      </c>
      <c r="F50" s="120"/>
      <c r="G50" s="120"/>
      <c r="H50" s="120"/>
      <c r="I50" s="121" t="s">
        <v>868</v>
      </c>
      <c r="J50" s="120" t="s">
        <v>688</v>
      </c>
      <c r="K50" s="29">
        <v>121000</v>
      </c>
      <c r="L50" s="29">
        <v>182912</v>
      </c>
      <c r="M50" s="29">
        <v>0</v>
      </c>
      <c r="N50" s="29">
        <f>ROUNDDOWN(テーブル25678[[#This Row],[申請額]],-3)</f>
        <v>0</v>
      </c>
      <c r="O50" s="29"/>
      <c r="P50" s="125">
        <f>ROUNDDOWN(PRODUCT(テーブル25678[[#This Row],[市交付決定額]],2/3),-3)</f>
        <v>0</v>
      </c>
      <c r="Q50" s="29"/>
      <c r="R50" s="120"/>
    </row>
    <row r="51" spans="2:18" ht="50.25" customHeight="1">
      <c r="B51" s="123"/>
      <c r="C51" s="123"/>
      <c r="D51" s="123"/>
      <c r="E51" s="123"/>
      <c r="F51" s="123"/>
      <c r="G51" s="123"/>
      <c r="H51" s="123"/>
      <c r="I51" s="123"/>
      <c r="J51" s="123"/>
      <c r="K51" s="124">
        <f>SUBTOTAL(109,テーブル25678[交付決定額])</f>
        <v>25505000</v>
      </c>
      <c r="L51" s="124">
        <f>SUBTOTAL(109,テーブル25678[国庫補助基本額【上限100万円】
（事業に要する経費≠総事業費）])</f>
        <v>38302484</v>
      </c>
      <c r="M51" s="124">
        <f>SUBTOTAL(109,テーブル25678[申請額])</f>
        <v>32322903</v>
      </c>
      <c r="N51" s="124">
        <f>SUBTOTAL(109,テーブル25678[市交付決定額])</f>
        <v>32311000</v>
      </c>
      <c r="O51" s="124">
        <f>SUBTOTAL(109,テーブル25678[市交付確定額])</f>
        <v>11618000</v>
      </c>
      <c r="P51" s="124">
        <f>SUBTOTAL(109,テーブル25678[国庫補助額])</f>
        <v>21519000</v>
      </c>
      <c r="Q51" s="124"/>
      <c r="R51" s="124"/>
    </row>
  </sheetData>
  <phoneticPr fontId="1"/>
  <hyperlinks>
    <hyperlink ref="H11" r:id="rId1" xr:uid="{00000000-0004-0000-0500-000000000000}"/>
  </hyperlinks>
  <pageMargins left="0.70866141732283472" right="0.70866141732283472" top="0.74803149606299213" bottom="0.74803149606299213" header="0.31496062992125984" footer="0.31496062992125984"/>
  <pageSetup paperSize="8" scale="44" fitToHeight="0" orientation="landscape" r:id="rId2"/>
  <headerFooter>
    <oddHeader>&amp;C&amp;"BIZ UDPゴシック,標準"&amp;16令和4年度障害福祉分野のICT導入モデル事業　対象事業所一覧</oddHeader>
  </headerFooter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B3:G9"/>
  <sheetViews>
    <sheetView workbookViewId="0">
      <selection activeCell="I11" sqref="I11:I42"/>
    </sheetView>
  </sheetViews>
  <sheetFormatPr defaultColWidth="9" defaultRowHeight="15" customHeight="1"/>
  <cols>
    <col min="1" max="1" width="4.90625" style="7" customWidth="1"/>
    <col min="2" max="7" width="13.6328125" style="7" customWidth="1"/>
    <col min="8" max="16384" width="9" style="7"/>
  </cols>
  <sheetData>
    <row r="3" spans="2:7" ht="15" customHeight="1">
      <c r="B3" s="161" t="s">
        <v>160</v>
      </c>
      <c r="C3" s="161" t="s">
        <v>909</v>
      </c>
      <c r="D3" s="161" t="s">
        <v>910</v>
      </c>
      <c r="E3" s="161" t="s">
        <v>911</v>
      </c>
      <c r="F3" s="161" t="s">
        <v>908</v>
      </c>
      <c r="G3" s="161" t="s">
        <v>912</v>
      </c>
    </row>
    <row r="4" spans="2:7" ht="15" customHeight="1">
      <c r="B4" s="7">
        <v>4507000</v>
      </c>
      <c r="C4" s="162">
        <f>B4/$B$9</f>
        <v>0.17819863988612999</v>
      </c>
      <c r="D4" s="7">
        <f>C4*5423000</f>
        <v>966371.22410248301</v>
      </c>
      <c r="E4" s="7">
        <f>ROUND(D4,-3)</f>
        <v>966000</v>
      </c>
      <c r="G4" s="7">
        <f>SUM(E4:F4)</f>
        <v>966000</v>
      </c>
    </row>
    <row r="5" spans="2:7" ht="15" customHeight="1">
      <c r="B5" s="7">
        <v>3000000</v>
      </c>
      <c r="C5" s="162">
        <f t="shared" ref="C5:C9" si="0">B5/$B$9</f>
        <v>0.11861458168590859</v>
      </c>
      <c r="D5" s="7">
        <f t="shared" ref="D5:D8" si="1">C5*5423000</f>
        <v>643246.8764826823</v>
      </c>
      <c r="E5" s="7">
        <f t="shared" ref="E5:E7" si="2">ROUND(D5,-3)</f>
        <v>643000</v>
      </c>
      <c r="G5" s="7">
        <f t="shared" ref="G5:G8" si="3">SUM(E5:F5)</f>
        <v>643000</v>
      </c>
    </row>
    <row r="6" spans="2:7" ht="15" customHeight="1">
      <c r="B6" s="7">
        <v>658000</v>
      </c>
      <c r="C6" s="162">
        <f t="shared" si="0"/>
        <v>2.6016131583109284E-2</v>
      </c>
      <c r="D6" s="7">
        <f t="shared" si="1"/>
        <v>141085.48157520164</v>
      </c>
      <c r="E6" s="7">
        <f t="shared" si="2"/>
        <v>141000</v>
      </c>
      <c r="G6" s="7">
        <f t="shared" si="3"/>
        <v>141000</v>
      </c>
    </row>
    <row r="7" spans="2:7" ht="15" customHeight="1">
      <c r="B7" s="7">
        <v>13674000</v>
      </c>
      <c r="C7" s="162">
        <f t="shared" si="0"/>
        <v>0.54064526332437135</v>
      </c>
      <c r="D7" s="7">
        <f t="shared" si="1"/>
        <v>2931919.263008066</v>
      </c>
      <c r="E7" s="7">
        <f t="shared" si="2"/>
        <v>2932000</v>
      </c>
      <c r="G7" s="7">
        <f t="shared" si="3"/>
        <v>2932000</v>
      </c>
    </row>
    <row r="8" spans="2:7" ht="15" customHeight="1">
      <c r="B8" s="7">
        <v>3453000</v>
      </c>
      <c r="C8" s="162">
        <f t="shared" si="0"/>
        <v>0.1365253835204808</v>
      </c>
      <c r="D8" s="7">
        <f t="shared" si="1"/>
        <v>740377.15483156731</v>
      </c>
      <c r="E8" s="7">
        <f>ROUND(D8,-3)</f>
        <v>740000</v>
      </c>
      <c r="F8" s="7">
        <v>1000</v>
      </c>
      <c r="G8" s="7">
        <f t="shared" si="3"/>
        <v>741000</v>
      </c>
    </row>
    <row r="9" spans="2:7" ht="15" customHeight="1">
      <c r="B9" s="7">
        <f>SUM(B4:B8)</f>
        <v>25292000</v>
      </c>
      <c r="C9" s="162">
        <f t="shared" si="0"/>
        <v>1</v>
      </c>
      <c r="D9" s="7">
        <f>SUM(D4:D8)</f>
        <v>5423000</v>
      </c>
      <c r="E9" s="7">
        <f>SUM(E4:E8)</f>
        <v>5422000</v>
      </c>
      <c r="G9" s="7">
        <f>SUM(G4:G8)</f>
        <v>5423000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  <pageSetUpPr fitToPage="1"/>
  </sheetPr>
  <dimension ref="A1:P47"/>
  <sheetViews>
    <sheetView showGridLines="0" view="pageBreakPreview" zoomScale="80" zoomScaleNormal="85" zoomScaleSheetLayoutView="80" workbookViewId="0">
      <pane ySplit="1" topLeftCell="A32" activePane="bottomLeft" state="frozen"/>
      <selection pane="bottomLeft" activeCell="A24" sqref="A24:XFD24"/>
    </sheetView>
  </sheetViews>
  <sheetFormatPr defaultColWidth="8" defaultRowHeight="14"/>
  <cols>
    <col min="1" max="1" width="4.453125" style="92" customWidth="1"/>
    <col min="2" max="2" width="29.6328125" style="118" bestFit="1" customWidth="1"/>
    <col min="3" max="3" width="16.36328125" style="118" customWidth="1"/>
    <col min="4" max="4" width="34.36328125" style="118" bestFit="1" customWidth="1"/>
    <col min="5" max="5" width="26.90625" style="118" customWidth="1"/>
    <col min="6" max="6" width="23.7265625" style="119" customWidth="1"/>
    <col min="7" max="7" width="25.6328125" style="118" customWidth="1"/>
    <col min="8" max="9" width="16" style="118" customWidth="1"/>
    <col min="10" max="10" width="10.453125" style="118" customWidth="1"/>
    <col min="11" max="12" width="19.26953125" style="118" bestFit="1" customWidth="1"/>
    <col min="13" max="13" width="19.453125" style="119" customWidth="1"/>
    <col min="14" max="14" width="12.36328125" style="118" bestFit="1" customWidth="1"/>
    <col min="15" max="15" width="14" style="92" customWidth="1"/>
    <col min="16" max="16" width="19.7265625" style="111" customWidth="1"/>
    <col min="17" max="16384" width="8" style="92"/>
  </cols>
  <sheetData>
    <row r="1" spans="1:16" ht="55" customHeight="1">
      <c r="A1" s="87"/>
      <c r="B1" s="88" t="s">
        <v>654</v>
      </c>
      <c r="C1" s="88" t="s">
        <v>655</v>
      </c>
      <c r="D1" s="88" t="s">
        <v>656</v>
      </c>
      <c r="E1" s="88" t="s">
        <v>657</v>
      </c>
      <c r="F1" s="89" t="s">
        <v>658</v>
      </c>
      <c r="G1" s="88" t="s">
        <v>659</v>
      </c>
      <c r="H1" s="89" t="s">
        <v>660</v>
      </c>
      <c r="I1" s="89" t="s">
        <v>661</v>
      </c>
      <c r="J1" s="89" t="s">
        <v>662</v>
      </c>
      <c r="K1" s="89" t="s">
        <v>663</v>
      </c>
      <c r="L1" s="90" t="s">
        <v>664</v>
      </c>
      <c r="M1" s="89" t="s">
        <v>665</v>
      </c>
      <c r="N1" s="89" t="s">
        <v>666</v>
      </c>
      <c r="O1" s="87" t="s">
        <v>667</v>
      </c>
      <c r="P1" s="91" t="s">
        <v>668</v>
      </c>
    </row>
    <row r="2" spans="1:16" ht="48" customHeight="1">
      <c r="A2" s="87">
        <v>1</v>
      </c>
      <c r="B2" s="93" t="s">
        <v>670</v>
      </c>
      <c r="C2" s="94" t="s">
        <v>671</v>
      </c>
      <c r="D2" s="93" t="s">
        <v>672</v>
      </c>
      <c r="E2" s="93" t="s">
        <v>674</v>
      </c>
      <c r="F2" s="95" t="s">
        <v>676</v>
      </c>
      <c r="G2" s="93" t="s">
        <v>678</v>
      </c>
      <c r="H2" s="96">
        <v>3346200</v>
      </c>
      <c r="I2" s="96">
        <v>666000</v>
      </c>
      <c r="J2" s="96">
        <v>1000000</v>
      </c>
      <c r="K2" s="97">
        <v>1000000</v>
      </c>
      <c r="L2" s="98">
        <v>1000000</v>
      </c>
      <c r="M2" s="99" t="s">
        <v>679</v>
      </c>
      <c r="N2" s="96">
        <v>131</v>
      </c>
      <c r="O2" s="87" t="s">
        <v>680</v>
      </c>
      <c r="P2" s="91" t="s">
        <v>681</v>
      </c>
    </row>
    <row r="3" spans="1:16" ht="45" customHeight="1">
      <c r="A3" s="87">
        <v>2</v>
      </c>
      <c r="B3" s="93" t="s">
        <v>683</v>
      </c>
      <c r="C3" s="94" t="s">
        <v>684</v>
      </c>
      <c r="D3" s="93" t="s">
        <v>685</v>
      </c>
      <c r="E3" s="93" t="s">
        <v>687</v>
      </c>
      <c r="F3" s="95" t="s">
        <v>689</v>
      </c>
      <c r="G3" s="93" t="s">
        <v>690</v>
      </c>
      <c r="H3" s="96">
        <v>155802</v>
      </c>
      <c r="I3" s="96">
        <v>103000</v>
      </c>
      <c r="J3" s="96">
        <v>515795</v>
      </c>
      <c r="K3" s="97">
        <v>155802</v>
      </c>
      <c r="L3" s="98">
        <v>155000</v>
      </c>
      <c r="M3" s="99" t="s">
        <v>691</v>
      </c>
      <c r="N3" s="96">
        <v>132</v>
      </c>
      <c r="O3" s="87" t="s">
        <v>692</v>
      </c>
      <c r="P3" s="91" t="s">
        <v>681</v>
      </c>
    </row>
    <row r="4" spans="1:16" ht="45" customHeight="1">
      <c r="A4" s="87">
        <v>3</v>
      </c>
      <c r="B4" s="93" t="s">
        <v>683</v>
      </c>
      <c r="C4" s="94" t="s">
        <v>684</v>
      </c>
      <c r="D4" s="93" t="s">
        <v>685</v>
      </c>
      <c r="E4" s="93" t="s">
        <v>687</v>
      </c>
      <c r="F4" s="95" t="s">
        <v>689</v>
      </c>
      <c r="G4" s="93" t="s">
        <v>693</v>
      </c>
      <c r="H4" s="96">
        <v>1055410</v>
      </c>
      <c r="I4" s="96">
        <v>666000</v>
      </c>
      <c r="J4" s="96">
        <v>1000000</v>
      </c>
      <c r="K4" s="97">
        <v>461119</v>
      </c>
      <c r="L4" s="98">
        <v>461000</v>
      </c>
      <c r="M4" s="99" t="s">
        <v>694</v>
      </c>
      <c r="N4" s="96">
        <v>133</v>
      </c>
      <c r="O4" s="87" t="s">
        <v>692</v>
      </c>
      <c r="P4" s="91" t="s">
        <v>681</v>
      </c>
    </row>
    <row r="5" spans="1:16" ht="45" customHeight="1">
      <c r="A5" s="87">
        <v>4</v>
      </c>
      <c r="B5" s="93" t="s">
        <v>683</v>
      </c>
      <c r="C5" s="94" t="s">
        <v>684</v>
      </c>
      <c r="D5" s="93" t="s">
        <v>685</v>
      </c>
      <c r="E5" s="93" t="s">
        <v>687</v>
      </c>
      <c r="F5" s="95" t="s">
        <v>696</v>
      </c>
      <c r="G5" s="93" t="s">
        <v>698</v>
      </c>
      <c r="H5" s="96">
        <v>1148852</v>
      </c>
      <c r="I5" s="96">
        <v>666000</v>
      </c>
      <c r="J5" s="96">
        <v>1000000</v>
      </c>
      <c r="K5" s="97">
        <v>1000000</v>
      </c>
      <c r="L5" s="98">
        <v>1000000</v>
      </c>
      <c r="M5" s="99" t="s">
        <v>699</v>
      </c>
      <c r="N5" s="96">
        <v>134</v>
      </c>
      <c r="O5" s="87" t="s">
        <v>700</v>
      </c>
      <c r="P5" s="91" t="s">
        <v>681</v>
      </c>
    </row>
    <row r="6" spans="1:16" ht="44.25" customHeight="1">
      <c r="A6" s="87">
        <v>5</v>
      </c>
      <c r="B6" s="93" t="s">
        <v>683</v>
      </c>
      <c r="C6" s="94" t="s">
        <v>684</v>
      </c>
      <c r="D6" s="93" t="s">
        <v>685</v>
      </c>
      <c r="E6" s="93" t="s">
        <v>687</v>
      </c>
      <c r="F6" s="95" t="s">
        <v>696</v>
      </c>
      <c r="G6" s="93" t="s">
        <v>702</v>
      </c>
      <c r="H6" s="96">
        <v>637422</v>
      </c>
      <c r="I6" s="96">
        <v>424000</v>
      </c>
      <c r="J6" s="96">
        <v>882217</v>
      </c>
      <c r="K6" s="97">
        <v>637422</v>
      </c>
      <c r="L6" s="98">
        <v>637000</v>
      </c>
      <c r="M6" s="99" t="s">
        <v>703</v>
      </c>
      <c r="N6" s="96">
        <v>135</v>
      </c>
      <c r="O6" s="87" t="s">
        <v>700</v>
      </c>
      <c r="P6" s="91" t="s">
        <v>681</v>
      </c>
    </row>
    <row r="7" spans="1:16" ht="48" customHeight="1">
      <c r="A7" s="87">
        <v>6</v>
      </c>
      <c r="B7" s="93" t="s">
        <v>683</v>
      </c>
      <c r="C7" s="94" t="s">
        <v>684</v>
      </c>
      <c r="D7" s="93" t="s">
        <v>685</v>
      </c>
      <c r="E7" s="93" t="s">
        <v>687</v>
      </c>
      <c r="F7" s="95" t="s">
        <v>696</v>
      </c>
      <c r="G7" s="93" t="s">
        <v>705</v>
      </c>
      <c r="H7" s="96">
        <v>643286</v>
      </c>
      <c r="I7" s="96">
        <v>643286</v>
      </c>
      <c r="J7" s="96">
        <v>956115</v>
      </c>
      <c r="K7" s="97">
        <v>643286</v>
      </c>
      <c r="L7" s="98">
        <v>643000</v>
      </c>
      <c r="M7" s="99" t="s">
        <v>706</v>
      </c>
      <c r="N7" s="96">
        <v>136</v>
      </c>
      <c r="O7" s="87" t="s">
        <v>700</v>
      </c>
      <c r="P7" s="91" t="s">
        <v>681</v>
      </c>
    </row>
    <row r="8" spans="1:16" ht="45" customHeight="1">
      <c r="A8" s="87">
        <v>7</v>
      </c>
      <c r="B8" s="93" t="s">
        <v>683</v>
      </c>
      <c r="C8" s="94" t="s">
        <v>684</v>
      </c>
      <c r="D8" s="93" t="s">
        <v>685</v>
      </c>
      <c r="E8" s="93" t="s">
        <v>687</v>
      </c>
      <c r="F8" s="95" t="s">
        <v>696</v>
      </c>
      <c r="G8" s="93" t="s">
        <v>708</v>
      </c>
      <c r="H8" s="96">
        <v>918308</v>
      </c>
      <c r="I8" s="96">
        <v>612000</v>
      </c>
      <c r="J8" s="96">
        <v>1000000</v>
      </c>
      <c r="K8" s="97">
        <v>918308</v>
      </c>
      <c r="L8" s="98">
        <v>918000</v>
      </c>
      <c r="M8" s="99" t="s">
        <v>709</v>
      </c>
      <c r="N8" s="96">
        <v>137</v>
      </c>
      <c r="O8" s="87" t="s">
        <v>700</v>
      </c>
      <c r="P8" s="91" t="s">
        <v>681</v>
      </c>
    </row>
    <row r="9" spans="1:16" ht="45" customHeight="1">
      <c r="A9" s="87">
        <v>8</v>
      </c>
      <c r="B9" s="93" t="s">
        <v>683</v>
      </c>
      <c r="C9" s="94" t="s">
        <v>684</v>
      </c>
      <c r="D9" s="93" t="s">
        <v>685</v>
      </c>
      <c r="E9" s="93" t="s">
        <v>687</v>
      </c>
      <c r="F9" s="95" t="s">
        <v>711</v>
      </c>
      <c r="G9" s="93" t="s">
        <v>713</v>
      </c>
      <c r="H9" s="96">
        <v>858045</v>
      </c>
      <c r="I9" s="96">
        <v>572000</v>
      </c>
      <c r="J9" s="96">
        <v>922843</v>
      </c>
      <c r="K9" s="97">
        <v>858045</v>
      </c>
      <c r="L9" s="98">
        <v>858000</v>
      </c>
      <c r="M9" s="99" t="s">
        <v>714</v>
      </c>
      <c r="N9" s="96">
        <v>138</v>
      </c>
      <c r="O9" s="87" t="s">
        <v>692</v>
      </c>
      <c r="P9" s="91" t="s">
        <v>681</v>
      </c>
    </row>
    <row r="10" spans="1:16" ht="48" customHeight="1">
      <c r="A10" s="87">
        <v>9</v>
      </c>
      <c r="B10" s="93" t="s">
        <v>716</v>
      </c>
      <c r="C10" s="94" t="s">
        <v>684</v>
      </c>
      <c r="D10" s="93" t="s">
        <v>685</v>
      </c>
      <c r="E10" s="93" t="s">
        <v>687</v>
      </c>
      <c r="F10" s="95" t="s">
        <v>718</v>
      </c>
      <c r="G10" s="93" t="s">
        <v>720</v>
      </c>
      <c r="H10" s="96">
        <v>554601</v>
      </c>
      <c r="I10" s="96">
        <v>369000</v>
      </c>
      <c r="J10" s="96">
        <v>1000000</v>
      </c>
      <c r="K10" s="97">
        <v>554601</v>
      </c>
      <c r="L10" s="98">
        <v>554000</v>
      </c>
      <c r="M10" s="99" t="s">
        <v>721</v>
      </c>
      <c r="N10" s="96">
        <v>139</v>
      </c>
      <c r="O10" s="87" t="s">
        <v>722</v>
      </c>
      <c r="P10" s="91" t="s">
        <v>681</v>
      </c>
    </row>
    <row r="11" spans="1:16" ht="45" customHeight="1">
      <c r="A11" s="87">
        <v>10</v>
      </c>
      <c r="B11" s="93" t="s">
        <v>724</v>
      </c>
      <c r="C11" s="94" t="s">
        <v>725</v>
      </c>
      <c r="D11" s="93" t="s">
        <v>726</v>
      </c>
      <c r="E11" s="93" t="s">
        <v>728</v>
      </c>
      <c r="F11" s="95" t="s">
        <v>729</v>
      </c>
      <c r="G11" s="93" t="s">
        <v>730</v>
      </c>
      <c r="H11" s="96">
        <v>1031360</v>
      </c>
      <c r="I11" s="96">
        <v>666000</v>
      </c>
      <c r="J11" s="96">
        <v>1000000</v>
      </c>
      <c r="K11" s="97">
        <v>1000000</v>
      </c>
      <c r="L11" s="98">
        <v>1000000</v>
      </c>
      <c r="M11" s="99" t="s">
        <v>731</v>
      </c>
      <c r="N11" s="96">
        <v>140</v>
      </c>
      <c r="O11" s="87" t="s">
        <v>700</v>
      </c>
      <c r="P11" s="91" t="s">
        <v>681</v>
      </c>
    </row>
    <row r="12" spans="1:16" ht="48" customHeight="1">
      <c r="A12" s="87">
        <v>11</v>
      </c>
      <c r="B12" s="93" t="s">
        <v>733</v>
      </c>
      <c r="C12" s="94" t="s">
        <v>734</v>
      </c>
      <c r="D12" s="93" t="s">
        <v>735</v>
      </c>
      <c r="E12" s="93" t="s">
        <v>736</v>
      </c>
      <c r="F12" s="95" t="s">
        <v>718</v>
      </c>
      <c r="G12" s="93" t="s">
        <v>737</v>
      </c>
      <c r="H12" s="96">
        <v>434562</v>
      </c>
      <c r="I12" s="96">
        <v>289000</v>
      </c>
      <c r="J12" s="96">
        <v>1000000</v>
      </c>
      <c r="K12" s="97">
        <v>434000</v>
      </c>
      <c r="L12" s="98">
        <v>434000</v>
      </c>
      <c r="M12" s="99" t="s">
        <v>738</v>
      </c>
      <c r="N12" s="96">
        <v>141</v>
      </c>
      <c r="O12" s="87" t="s">
        <v>722</v>
      </c>
      <c r="P12" s="91" t="s">
        <v>681</v>
      </c>
    </row>
    <row r="13" spans="1:16" ht="45" customHeight="1">
      <c r="A13" s="87">
        <v>12</v>
      </c>
      <c r="B13" s="93" t="s">
        <v>739</v>
      </c>
      <c r="C13" s="100" t="s">
        <v>734</v>
      </c>
      <c r="D13" s="101" t="s">
        <v>735</v>
      </c>
      <c r="E13" s="101" t="s">
        <v>741</v>
      </c>
      <c r="F13" s="95" t="s">
        <v>711</v>
      </c>
      <c r="G13" s="93" t="s">
        <v>743</v>
      </c>
      <c r="H13" s="96">
        <v>644943</v>
      </c>
      <c r="I13" s="96">
        <v>429000</v>
      </c>
      <c r="J13" s="96">
        <v>1000000</v>
      </c>
      <c r="K13" s="97">
        <v>644000</v>
      </c>
      <c r="L13" s="98">
        <v>644000</v>
      </c>
      <c r="M13" s="102" t="s">
        <v>744</v>
      </c>
      <c r="N13" s="96">
        <v>142</v>
      </c>
      <c r="O13" s="87" t="s">
        <v>692</v>
      </c>
      <c r="P13" s="91" t="s">
        <v>681</v>
      </c>
    </row>
    <row r="14" spans="1:16" ht="48" customHeight="1">
      <c r="A14" s="87">
        <v>13</v>
      </c>
      <c r="B14" s="93" t="s">
        <v>746</v>
      </c>
      <c r="C14" s="94" t="s">
        <v>747</v>
      </c>
      <c r="D14" s="93" t="s">
        <v>748</v>
      </c>
      <c r="E14" s="93" t="s">
        <v>750</v>
      </c>
      <c r="F14" s="95" t="s">
        <v>752</v>
      </c>
      <c r="G14" s="93" t="s">
        <v>754</v>
      </c>
      <c r="H14" s="96">
        <v>117696</v>
      </c>
      <c r="I14" s="96">
        <v>78000</v>
      </c>
      <c r="J14" s="96">
        <v>353088</v>
      </c>
      <c r="K14" s="97">
        <v>117696</v>
      </c>
      <c r="L14" s="98">
        <v>117000</v>
      </c>
      <c r="M14" s="99" t="s">
        <v>755</v>
      </c>
      <c r="N14" s="96">
        <v>143</v>
      </c>
      <c r="O14" s="87" t="s">
        <v>700</v>
      </c>
      <c r="P14" s="91" t="s">
        <v>681</v>
      </c>
    </row>
    <row r="15" spans="1:16" ht="48" customHeight="1">
      <c r="A15" s="87">
        <v>14</v>
      </c>
      <c r="B15" s="93" t="s">
        <v>757</v>
      </c>
      <c r="C15" s="94" t="s">
        <v>758</v>
      </c>
      <c r="D15" s="93" t="s">
        <v>759</v>
      </c>
      <c r="E15" s="93" t="s">
        <v>761</v>
      </c>
      <c r="F15" s="95" t="s">
        <v>696</v>
      </c>
      <c r="G15" s="93" t="s">
        <v>762</v>
      </c>
      <c r="H15" s="96">
        <v>1021335</v>
      </c>
      <c r="I15" s="96">
        <v>666000</v>
      </c>
      <c r="J15" s="96">
        <v>1000000</v>
      </c>
      <c r="K15" s="97">
        <v>1000000</v>
      </c>
      <c r="L15" s="98">
        <v>1000000</v>
      </c>
      <c r="M15" s="99" t="s">
        <v>763</v>
      </c>
      <c r="N15" s="96">
        <v>144</v>
      </c>
      <c r="O15" s="87" t="s">
        <v>700</v>
      </c>
      <c r="P15" s="91" t="s">
        <v>681</v>
      </c>
    </row>
    <row r="16" spans="1:16" ht="45" customHeight="1">
      <c r="A16" s="87">
        <v>15</v>
      </c>
      <c r="B16" s="93" t="s">
        <v>765</v>
      </c>
      <c r="C16" s="94" t="s">
        <v>766</v>
      </c>
      <c r="D16" s="93" t="s">
        <v>767</v>
      </c>
      <c r="E16" s="93" t="s">
        <v>769</v>
      </c>
      <c r="F16" s="95" t="s">
        <v>771</v>
      </c>
      <c r="G16" s="93" t="s">
        <v>772</v>
      </c>
      <c r="H16" s="96">
        <v>184300</v>
      </c>
      <c r="I16" s="96">
        <v>122000</v>
      </c>
      <c r="J16" s="96">
        <v>184300</v>
      </c>
      <c r="K16" s="97">
        <v>184300</v>
      </c>
      <c r="L16" s="98">
        <v>184000</v>
      </c>
      <c r="M16" s="99" t="s">
        <v>773</v>
      </c>
      <c r="N16" s="96">
        <v>145</v>
      </c>
      <c r="O16" s="87" t="s">
        <v>774</v>
      </c>
      <c r="P16" s="91" t="s">
        <v>681</v>
      </c>
    </row>
    <row r="17" spans="1:16" ht="48" customHeight="1">
      <c r="A17" s="87">
        <v>16</v>
      </c>
      <c r="B17" s="93" t="s">
        <v>775</v>
      </c>
      <c r="C17" s="94" t="s">
        <v>776</v>
      </c>
      <c r="D17" s="93" t="s">
        <v>767</v>
      </c>
      <c r="E17" s="93" t="s">
        <v>769</v>
      </c>
      <c r="F17" s="95" t="s">
        <v>718</v>
      </c>
      <c r="G17" s="93" t="s">
        <v>777</v>
      </c>
      <c r="H17" s="96">
        <v>37960</v>
      </c>
      <c r="I17" s="96">
        <v>25000</v>
      </c>
      <c r="J17" s="96">
        <v>37960</v>
      </c>
      <c r="K17" s="97">
        <v>37960</v>
      </c>
      <c r="L17" s="98">
        <v>37000</v>
      </c>
      <c r="M17" s="99" t="s">
        <v>778</v>
      </c>
      <c r="N17" s="96">
        <v>146</v>
      </c>
      <c r="O17" s="87" t="s">
        <v>722</v>
      </c>
      <c r="P17" s="91" t="s">
        <v>681</v>
      </c>
    </row>
    <row r="18" spans="1:16" ht="45" customHeight="1">
      <c r="A18" s="87">
        <v>17</v>
      </c>
      <c r="B18" s="93" t="s">
        <v>765</v>
      </c>
      <c r="C18" s="94" t="s">
        <v>776</v>
      </c>
      <c r="D18" s="93" t="s">
        <v>767</v>
      </c>
      <c r="E18" s="93" t="s">
        <v>769</v>
      </c>
      <c r="F18" s="95" t="s">
        <v>711</v>
      </c>
      <c r="G18" s="93" t="s">
        <v>780</v>
      </c>
      <c r="H18" s="96">
        <v>75920</v>
      </c>
      <c r="I18" s="96">
        <v>50000</v>
      </c>
      <c r="J18" s="96">
        <v>75920</v>
      </c>
      <c r="K18" s="97">
        <v>75920</v>
      </c>
      <c r="L18" s="98">
        <v>75000</v>
      </c>
      <c r="M18" s="99" t="s">
        <v>773</v>
      </c>
      <c r="N18" s="96">
        <v>147</v>
      </c>
      <c r="O18" s="87" t="s">
        <v>692</v>
      </c>
      <c r="P18" s="91" t="s">
        <v>681</v>
      </c>
    </row>
    <row r="19" spans="1:16" ht="48" customHeight="1">
      <c r="A19" s="87">
        <v>18</v>
      </c>
      <c r="B19" s="93" t="s">
        <v>765</v>
      </c>
      <c r="C19" s="94" t="s">
        <v>776</v>
      </c>
      <c r="D19" s="93" t="s">
        <v>767</v>
      </c>
      <c r="E19" s="93" t="s">
        <v>769</v>
      </c>
      <c r="F19" s="95" t="s">
        <v>782</v>
      </c>
      <c r="G19" s="93" t="s">
        <v>783</v>
      </c>
      <c r="H19" s="96">
        <v>330640</v>
      </c>
      <c r="I19" s="96">
        <v>220000</v>
      </c>
      <c r="J19" s="96">
        <v>330640</v>
      </c>
      <c r="K19" s="97">
        <v>330640</v>
      </c>
      <c r="L19" s="98">
        <v>330000</v>
      </c>
      <c r="M19" s="99" t="s">
        <v>784</v>
      </c>
      <c r="N19" s="96">
        <v>148</v>
      </c>
      <c r="O19" s="87" t="s">
        <v>680</v>
      </c>
      <c r="P19" s="91" t="s">
        <v>681</v>
      </c>
    </row>
    <row r="20" spans="1:16" ht="45" customHeight="1">
      <c r="A20" s="87">
        <v>19</v>
      </c>
      <c r="B20" s="93" t="s">
        <v>765</v>
      </c>
      <c r="C20" s="94" t="s">
        <v>776</v>
      </c>
      <c r="D20" s="93" t="s">
        <v>767</v>
      </c>
      <c r="E20" s="93" t="s">
        <v>769</v>
      </c>
      <c r="F20" s="95" t="s">
        <v>782</v>
      </c>
      <c r="G20" s="93" t="s">
        <v>785</v>
      </c>
      <c r="H20" s="103">
        <v>233080</v>
      </c>
      <c r="I20" s="103">
        <v>155000</v>
      </c>
      <c r="J20" s="103">
        <v>233080</v>
      </c>
      <c r="K20" s="104">
        <v>233080</v>
      </c>
      <c r="L20" s="105">
        <v>233000</v>
      </c>
      <c r="M20" s="99" t="s">
        <v>784</v>
      </c>
      <c r="N20" s="96">
        <v>149</v>
      </c>
      <c r="O20" s="87" t="s">
        <v>680</v>
      </c>
      <c r="P20" s="91" t="s">
        <v>681</v>
      </c>
    </row>
    <row r="21" spans="1:16" ht="48" customHeight="1">
      <c r="A21" s="87">
        <v>20</v>
      </c>
      <c r="B21" s="93" t="s">
        <v>765</v>
      </c>
      <c r="C21" s="94" t="s">
        <v>776</v>
      </c>
      <c r="D21" s="93" t="s">
        <v>767</v>
      </c>
      <c r="E21" s="93" t="s">
        <v>769</v>
      </c>
      <c r="F21" s="95" t="s">
        <v>782</v>
      </c>
      <c r="G21" s="93" t="s">
        <v>786</v>
      </c>
      <c r="H21" s="96">
        <v>281860</v>
      </c>
      <c r="I21" s="96">
        <v>187000</v>
      </c>
      <c r="J21" s="96">
        <v>281860</v>
      </c>
      <c r="K21" s="97">
        <v>281860</v>
      </c>
      <c r="L21" s="98">
        <v>281000</v>
      </c>
      <c r="M21" s="99" t="s">
        <v>784</v>
      </c>
      <c r="N21" s="96">
        <v>150</v>
      </c>
      <c r="O21" s="87" t="s">
        <v>680</v>
      </c>
      <c r="P21" s="91" t="s">
        <v>681</v>
      </c>
    </row>
    <row r="22" spans="1:16" ht="45" customHeight="1">
      <c r="A22" s="87">
        <v>21</v>
      </c>
      <c r="B22" s="93" t="s">
        <v>788</v>
      </c>
      <c r="C22" s="94" t="s">
        <v>789</v>
      </c>
      <c r="D22" s="93" t="s">
        <v>790</v>
      </c>
      <c r="E22" s="93" t="s">
        <v>792</v>
      </c>
      <c r="F22" s="95" t="s">
        <v>718</v>
      </c>
      <c r="G22" s="93" t="s">
        <v>793</v>
      </c>
      <c r="H22" s="106">
        <v>611380</v>
      </c>
      <c r="I22" s="106">
        <v>407000</v>
      </c>
      <c r="J22" s="106">
        <v>611380</v>
      </c>
      <c r="K22" s="107">
        <v>611380</v>
      </c>
      <c r="L22" s="108">
        <v>611000</v>
      </c>
      <c r="M22" s="109" t="s">
        <v>794</v>
      </c>
      <c r="N22" s="96">
        <v>151</v>
      </c>
      <c r="O22" s="87" t="s">
        <v>722</v>
      </c>
      <c r="P22" s="91" t="s">
        <v>681</v>
      </c>
    </row>
    <row r="23" spans="1:16" ht="48" customHeight="1">
      <c r="A23" s="87">
        <v>22</v>
      </c>
      <c r="B23" s="93" t="s">
        <v>796</v>
      </c>
      <c r="C23" s="94" t="s">
        <v>797</v>
      </c>
      <c r="D23" s="93" t="s">
        <v>798</v>
      </c>
      <c r="E23" s="93" t="s">
        <v>800</v>
      </c>
      <c r="F23" s="95" t="s">
        <v>718</v>
      </c>
      <c r="G23" s="93" t="s">
        <v>802</v>
      </c>
      <c r="H23" s="96">
        <v>666600</v>
      </c>
      <c r="I23" s="96">
        <v>444000</v>
      </c>
      <c r="J23" s="96">
        <v>666600</v>
      </c>
      <c r="K23" s="97">
        <v>666600</v>
      </c>
      <c r="L23" s="98">
        <v>666000</v>
      </c>
      <c r="M23" s="99" t="s">
        <v>803</v>
      </c>
      <c r="N23" s="96">
        <v>152</v>
      </c>
      <c r="O23" s="87" t="s">
        <v>722</v>
      </c>
      <c r="P23" s="91" t="s">
        <v>681</v>
      </c>
    </row>
    <row r="24" spans="1:16" ht="45" customHeight="1">
      <c r="A24" s="87">
        <v>23</v>
      </c>
      <c r="B24" s="93" t="s">
        <v>805</v>
      </c>
      <c r="C24" s="94" t="s">
        <v>806</v>
      </c>
      <c r="D24" s="93" t="s">
        <v>807</v>
      </c>
      <c r="E24" s="93" t="s">
        <v>809</v>
      </c>
      <c r="F24" s="95" t="s">
        <v>711</v>
      </c>
      <c r="G24" s="93" t="s">
        <v>811</v>
      </c>
      <c r="H24" s="96">
        <v>772830</v>
      </c>
      <c r="I24" s="96">
        <v>515000</v>
      </c>
      <c r="J24" s="96">
        <v>774060</v>
      </c>
      <c r="K24" s="97">
        <v>772830</v>
      </c>
      <c r="L24" s="98">
        <v>772000</v>
      </c>
      <c r="M24" s="99" t="s">
        <v>812</v>
      </c>
      <c r="N24" s="96">
        <v>153</v>
      </c>
      <c r="O24" s="87" t="s">
        <v>692</v>
      </c>
      <c r="P24" s="91" t="s">
        <v>681</v>
      </c>
    </row>
    <row r="25" spans="1:16" ht="44.25" customHeight="1">
      <c r="A25" s="87">
        <v>24</v>
      </c>
      <c r="B25" s="93" t="s">
        <v>814</v>
      </c>
      <c r="C25" s="94" t="s">
        <v>815</v>
      </c>
      <c r="D25" s="93" t="s">
        <v>816</v>
      </c>
      <c r="E25" s="93" t="s">
        <v>818</v>
      </c>
      <c r="F25" s="95" t="s">
        <v>711</v>
      </c>
      <c r="G25" s="93" t="s">
        <v>820</v>
      </c>
      <c r="H25" s="96">
        <v>199100</v>
      </c>
      <c r="I25" s="96">
        <v>132000</v>
      </c>
      <c r="J25" s="96">
        <v>216474</v>
      </c>
      <c r="K25" s="97">
        <v>199100</v>
      </c>
      <c r="L25" s="98">
        <v>199000</v>
      </c>
      <c r="M25" s="99" t="s">
        <v>821</v>
      </c>
      <c r="N25" s="96">
        <v>154</v>
      </c>
      <c r="O25" s="87" t="s">
        <v>692</v>
      </c>
      <c r="P25" s="91" t="s">
        <v>681</v>
      </c>
    </row>
    <row r="26" spans="1:16" ht="48" customHeight="1">
      <c r="A26" s="87">
        <v>25</v>
      </c>
      <c r="B26" s="93" t="s">
        <v>822</v>
      </c>
      <c r="C26" s="94" t="s">
        <v>823</v>
      </c>
      <c r="D26" s="93" t="s">
        <v>824</v>
      </c>
      <c r="E26" s="93" t="s">
        <v>826</v>
      </c>
      <c r="F26" s="95" t="s">
        <v>782</v>
      </c>
      <c r="G26" s="93" t="s">
        <v>828</v>
      </c>
      <c r="H26" s="96">
        <v>863614</v>
      </c>
      <c r="I26" s="96">
        <v>575000</v>
      </c>
      <c r="J26" s="96">
        <v>1000000</v>
      </c>
      <c r="K26" s="97">
        <v>863614</v>
      </c>
      <c r="L26" s="98">
        <v>863000</v>
      </c>
      <c r="M26" s="99" t="s">
        <v>829</v>
      </c>
      <c r="N26" s="96">
        <v>155</v>
      </c>
      <c r="O26" s="87" t="s">
        <v>680</v>
      </c>
      <c r="P26" s="91" t="s">
        <v>681</v>
      </c>
    </row>
    <row r="27" spans="1:16" ht="48" customHeight="1">
      <c r="A27" s="87">
        <v>26</v>
      </c>
      <c r="B27" s="93" t="s">
        <v>831</v>
      </c>
      <c r="C27" s="94" t="s">
        <v>832</v>
      </c>
      <c r="D27" s="93" t="s">
        <v>833</v>
      </c>
      <c r="E27" s="93" t="s">
        <v>835</v>
      </c>
      <c r="F27" s="95" t="s">
        <v>782</v>
      </c>
      <c r="G27" s="93" t="s">
        <v>250</v>
      </c>
      <c r="H27" s="96">
        <v>1052760</v>
      </c>
      <c r="I27" s="96">
        <v>666000</v>
      </c>
      <c r="J27" s="96">
        <v>1000000</v>
      </c>
      <c r="K27" s="97">
        <v>1000000</v>
      </c>
      <c r="L27" s="98">
        <v>1000000</v>
      </c>
      <c r="M27" s="99" t="s">
        <v>836</v>
      </c>
      <c r="N27" s="96">
        <v>156</v>
      </c>
      <c r="O27" s="87" t="s">
        <v>680</v>
      </c>
      <c r="P27" s="91" t="s">
        <v>681</v>
      </c>
    </row>
    <row r="28" spans="1:16" ht="45" customHeight="1">
      <c r="A28" s="87">
        <v>27</v>
      </c>
      <c r="B28" s="93" t="s">
        <v>831</v>
      </c>
      <c r="C28" s="94" t="s">
        <v>832</v>
      </c>
      <c r="D28" s="93" t="s">
        <v>833</v>
      </c>
      <c r="E28" s="93" t="s">
        <v>835</v>
      </c>
      <c r="F28" s="95" t="s">
        <v>838</v>
      </c>
      <c r="G28" s="93" t="s">
        <v>252</v>
      </c>
      <c r="H28" s="96">
        <v>1052760</v>
      </c>
      <c r="I28" s="96">
        <v>666000</v>
      </c>
      <c r="J28" s="96">
        <v>1000000</v>
      </c>
      <c r="K28" s="97">
        <v>1000000</v>
      </c>
      <c r="L28" s="98">
        <v>1000000</v>
      </c>
      <c r="M28" s="99" t="s">
        <v>836</v>
      </c>
      <c r="N28" s="96">
        <v>157</v>
      </c>
      <c r="O28" s="87" t="s">
        <v>680</v>
      </c>
      <c r="P28" s="91" t="s">
        <v>681</v>
      </c>
    </row>
    <row r="29" spans="1:16" ht="48" customHeight="1">
      <c r="A29" s="87">
        <v>28</v>
      </c>
      <c r="B29" s="93" t="s">
        <v>831</v>
      </c>
      <c r="C29" s="94" t="s">
        <v>832</v>
      </c>
      <c r="D29" s="93" t="s">
        <v>833</v>
      </c>
      <c r="E29" s="93" t="s">
        <v>835</v>
      </c>
      <c r="F29" s="95" t="s">
        <v>782</v>
      </c>
      <c r="G29" s="93" t="s">
        <v>537</v>
      </c>
      <c r="H29" s="96">
        <v>1052760</v>
      </c>
      <c r="I29" s="96">
        <v>666000</v>
      </c>
      <c r="J29" s="96">
        <v>1000000</v>
      </c>
      <c r="K29" s="97">
        <v>1000000</v>
      </c>
      <c r="L29" s="98">
        <v>1000000</v>
      </c>
      <c r="M29" s="99" t="s">
        <v>836</v>
      </c>
      <c r="N29" s="96">
        <v>158</v>
      </c>
      <c r="O29" s="87" t="s">
        <v>680</v>
      </c>
      <c r="P29" s="91" t="s">
        <v>681</v>
      </c>
    </row>
    <row r="30" spans="1:16" ht="48" customHeight="1">
      <c r="A30" s="87">
        <v>29</v>
      </c>
      <c r="B30" s="93" t="s">
        <v>831</v>
      </c>
      <c r="C30" s="94" t="s">
        <v>832</v>
      </c>
      <c r="D30" s="93" t="s">
        <v>833</v>
      </c>
      <c r="E30" s="93" t="s">
        <v>835</v>
      </c>
      <c r="F30" s="95" t="s">
        <v>782</v>
      </c>
      <c r="G30" s="93" t="s">
        <v>543</v>
      </c>
      <c r="H30" s="96">
        <v>1052760</v>
      </c>
      <c r="I30" s="96">
        <v>666000</v>
      </c>
      <c r="J30" s="96">
        <v>1000000</v>
      </c>
      <c r="K30" s="97">
        <v>1000000</v>
      </c>
      <c r="L30" s="98">
        <v>1000000</v>
      </c>
      <c r="M30" s="99" t="s">
        <v>836</v>
      </c>
      <c r="N30" s="96">
        <v>159</v>
      </c>
      <c r="O30" s="87" t="s">
        <v>680</v>
      </c>
      <c r="P30" s="91" t="s">
        <v>681</v>
      </c>
    </row>
    <row r="31" spans="1:16" ht="45" customHeight="1">
      <c r="A31" s="87">
        <v>30</v>
      </c>
      <c r="B31" s="93" t="s">
        <v>831</v>
      </c>
      <c r="C31" s="94" t="s">
        <v>832</v>
      </c>
      <c r="D31" s="93" t="s">
        <v>833</v>
      </c>
      <c r="E31" s="93" t="s">
        <v>835</v>
      </c>
      <c r="F31" s="95" t="s">
        <v>782</v>
      </c>
      <c r="G31" s="93" t="s">
        <v>548</v>
      </c>
      <c r="H31" s="96">
        <v>1052760</v>
      </c>
      <c r="I31" s="96">
        <v>666000</v>
      </c>
      <c r="J31" s="96">
        <v>1000000</v>
      </c>
      <c r="K31" s="97">
        <v>1000000</v>
      </c>
      <c r="L31" s="98">
        <v>1000000</v>
      </c>
      <c r="M31" s="99" t="s">
        <v>836</v>
      </c>
      <c r="N31" s="96">
        <v>160</v>
      </c>
      <c r="O31" s="87" t="s">
        <v>680</v>
      </c>
      <c r="P31" s="91" t="s">
        <v>681</v>
      </c>
    </row>
    <row r="32" spans="1:16" ht="48" customHeight="1">
      <c r="A32" s="87">
        <v>31</v>
      </c>
      <c r="B32" s="93" t="s">
        <v>831</v>
      </c>
      <c r="C32" s="94" t="s">
        <v>832</v>
      </c>
      <c r="D32" s="93" t="s">
        <v>833</v>
      </c>
      <c r="E32" s="93" t="s">
        <v>835</v>
      </c>
      <c r="F32" s="95" t="s">
        <v>838</v>
      </c>
      <c r="G32" s="93" t="s">
        <v>839</v>
      </c>
      <c r="H32" s="96">
        <v>1052760</v>
      </c>
      <c r="I32" s="96">
        <v>666000</v>
      </c>
      <c r="J32" s="96">
        <v>1000000</v>
      </c>
      <c r="K32" s="97">
        <v>1000000</v>
      </c>
      <c r="L32" s="98">
        <v>1000000</v>
      </c>
      <c r="M32" s="99" t="s">
        <v>836</v>
      </c>
      <c r="N32" s="96">
        <v>161</v>
      </c>
      <c r="O32" s="87" t="s">
        <v>680</v>
      </c>
      <c r="P32" s="91" t="s">
        <v>681</v>
      </c>
    </row>
    <row r="33" spans="1:16" ht="45" customHeight="1">
      <c r="A33" s="87">
        <v>32</v>
      </c>
      <c r="B33" s="93" t="s">
        <v>841</v>
      </c>
      <c r="C33" s="94" t="s">
        <v>842</v>
      </c>
      <c r="D33" s="93" t="s">
        <v>843</v>
      </c>
      <c r="E33" s="93" t="s">
        <v>845</v>
      </c>
      <c r="F33" s="95" t="s">
        <v>689</v>
      </c>
      <c r="G33" s="93" t="s">
        <v>847</v>
      </c>
      <c r="H33" s="96">
        <v>1012813</v>
      </c>
      <c r="I33" s="96">
        <v>666000</v>
      </c>
      <c r="J33" s="96">
        <v>1000000</v>
      </c>
      <c r="K33" s="97">
        <v>1000000</v>
      </c>
      <c r="L33" s="98">
        <v>1000000</v>
      </c>
      <c r="M33" s="99" t="s">
        <v>848</v>
      </c>
      <c r="N33" s="96">
        <v>162</v>
      </c>
      <c r="O33" s="87" t="s">
        <v>692</v>
      </c>
      <c r="P33" s="91" t="s">
        <v>681</v>
      </c>
    </row>
    <row r="34" spans="1:16" ht="45" customHeight="1">
      <c r="A34" s="87"/>
      <c r="B34" s="93"/>
      <c r="C34" s="94"/>
      <c r="D34" s="93"/>
      <c r="E34" s="93"/>
      <c r="F34" s="95"/>
      <c r="G34" s="93"/>
      <c r="H34" s="103"/>
      <c r="I34" s="103"/>
      <c r="J34" s="103"/>
      <c r="K34" s="104"/>
      <c r="L34" s="105"/>
      <c r="M34" s="110"/>
      <c r="N34" s="103"/>
    </row>
    <row r="35" spans="1:16" ht="45" customHeight="1">
      <c r="B35" s="112"/>
      <c r="C35" s="113"/>
      <c r="D35" s="112"/>
      <c r="E35" s="112"/>
      <c r="F35" s="114"/>
      <c r="G35" s="112"/>
      <c r="H35" s="115"/>
      <c r="I35" s="115"/>
      <c r="J35" s="115"/>
      <c r="K35" s="116">
        <f>SUM(K2:K34)</f>
        <v>20681563</v>
      </c>
      <c r="L35" s="116">
        <f>SUM(L2:L34)</f>
        <v>20672000</v>
      </c>
      <c r="M35" s="117"/>
      <c r="N35" s="113"/>
    </row>
    <row r="36" spans="1:16" ht="20.25" customHeight="1"/>
    <row r="37" spans="1:16" s="118" customFormat="1" ht="20.25" customHeight="1">
      <c r="F37" s="119"/>
      <c r="M37" s="119"/>
      <c r="O37" s="92"/>
      <c r="P37" s="111"/>
    </row>
    <row r="38" spans="1:16" s="118" customFormat="1" ht="45" customHeight="1">
      <c r="F38" s="119"/>
      <c r="M38" s="119"/>
      <c r="O38" s="92"/>
      <c r="P38" s="111"/>
    </row>
    <row r="39" spans="1:16" s="118" customFormat="1" ht="45" customHeight="1">
      <c r="F39" s="119"/>
      <c r="M39" s="119"/>
      <c r="O39" s="92"/>
      <c r="P39" s="111"/>
    </row>
    <row r="40" spans="1:16" s="118" customFormat="1" ht="78.75" customHeight="1">
      <c r="F40" s="119"/>
      <c r="M40" s="119"/>
      <c r="O40" s="92"/>
      <c r="P40" s="111"/>
    </row>
    <row r="41" spans="1:16" s="118" customFormat="1" ht="45" customHeight="1">
      <c r="F41" s="119"/>
      <c r="M41" s="119"/>
      <c r="O41" s="92"/>
      <c r="P41" s="111"/>
    </row>
    <row r="42" spans="1:16" s="118" customFormat="1" ht="24.75" customHeight="1">
      <c r="F42" s="119"/>
      <c r="M42" s="119"/>
      <c r="P42" s="111"/>
    </row>
    <row r="43" spans="1:16" s="118" customFormat="1" ht="24.75" customHeight="1">
      <c r="F43" s="119"/>
      <c r="M43" s="119"/>
      <c r="P43" s="111"/>
    </row>
    <row r="44" spans="1:16" s="118" customFormat="1" ht="24.75" customHeight="1">
      <c r="F44" s="119"/>
      <c r="M44" s="119"/>
      <c r="P44" s="111"/>
    </row>
    <row r="45" spans="1:16" s="118" customFormat="1" ht="24.75" customHeight="1">
      <c r="F45" s="119"/>
      <c r="M45" s="119"/>
      <c r="P45" s="111"/>
    </row>
    <row r="46" spans="1:16" s="118" customFormat="1" ht="24.75" customHeight="1">
      <c r="F46" s="119"/>
      <c r="M46" s="119"/>
      <c r="O46" s="92"/>
      <c r="P46" s="111"/>
    </row>
    <row r="47" spans="1:16" s="118" customFormat="1" ht="24.75" customHeight="1">
      <c r="F47" s="119"/>
      <c r="M47" s="119"/>
      <c r="O47" s="92"/>
      <c r="P47" s="111"/>
    </row>
  </sheetData>
  <phoneticPr fontId="1"/>
  <printOptions horizontalCentered="1"/>
  <pageMargins left="0.19685039370078741" right="0.19685039370078741" top="0.98425196850393704" bottom="0.59055118110236227" header="0.51181102362204722" footer="0.51181102362204722"/>
  <pageSetup paperSize="9" scale="33" fitToHeight="0" orientation="portrait" horizontalDpi="300" verticalDpi="300" r:id="rId1"/>
  <headerFooter alignWithMargins="0">
    <oddHeader>&amp;C&amp;20&amp;F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S16"/>
  <sheetViews>
    <sheetView view="pageBreakPreview" zoomScale="70" zoomScaleNormal="60" zoomScaleSheetLayoutView="70" workbookViewId="0">
      <pane ySplit="1" topLeftCell="A2" activePane="bottomLeft" state="frozen"/>
      <selection activeCell="AU25" sqref="AU25"/>
      <selection pane="bottomLeft" activeCell="C20" sqref="C20"/>
    </sheetView>
  </sheetViews>
  <sheetFormatPr defaultColWidth="9" defaultRowHeight="13" outlineLevelCol="1"/>
  <cols>
    <col min="1" max="1" width="8.7265625" style="21" customWidth="1"/>
    <col min="2" max="2" width="11.26953125" style="21" customWidth="1" outlineLevel="1"/>
    <col min="3" max="3" width="12.453125" style="21" customWidth="1" outlineLevel="1"/>
    <col min="4" max="4" width="50.26953125" style="20" customWidth="1"/>
    <col min="5" max="5" width="32.26953125" style="20" customWidth="1"/>
    <col min="6" max="7" width="47.453125" style="20" hidden="1" customWidth="1" outlineLevel="1"/>
    <col min="8" max="8" width="40.7265625" style="22" customWidth="1" collapsed="1"/>
    <col min="9" max="9" width="33.08984375" style="20" customWidth="1"/>
    <col min="10" max="10" width="35.36328125" style="20" hidden="1" customWidth="1" outlineLevel="1"/>
    <col min="11" max="11" width="13.26953125" style="21" hidden="1" customWidth="1" outlineLevel="1"/>
    <col min="12" max="13" width="29.453125" style="20" hidden="1" customWidth="1" outlineLevel="1"/>
    <col min="14" max="14" width="42.6328125" style="20" customWidth="1" collapsed="1"/>
    <col min="15" max="16" width="33.90625" style="20" customWidth="1"/>
    <col min="17" max="17" width="46.90625" style="20" hidden="1" customWidth="1" outlineLevel="1"/>
    <col min="18" max="18" width="50" style="20" hidden="1" customWidth="1" outlineLevel="1"/>
    <col min="19" max="19" width="9" style="20" collapsed="1"/>
    <col min="20" max="16384" width="9" style="20"/>
  </cols>
  <sheetData>
    <row r="1" spans="1:18" s="19" customFormat="1" ht="46.5" customHeight="1">
      <c r="A1" s="17" t="s">
        <v>257</v>
      </c>
      <c r="B1" s="17" t="s">
        <v>644</v>
      </c>
      <c r="C1" s="17" t="s">
        <v>645</v>
      </c>
      <c r="D1" s="17" t="s">
        <v>173</v>
      </c>
      <c r="E1" s="17" t="s">
        <v>584</v>
      </c>
      <c r="F1" s="17" t="s">
        <v>621</v>
      </c>
      <c r="G1" s="17" t="s">
        <v>620</v>
      </c>
      <c r="H1" s="17" t="s">
        <v>174</v>
      </c>
      <c r="I1" s="17" t="s">
        <v>175</v>
      </c>
      <c r="J1" s="17" t="s">
        <v>176</v>
      </c>
      <c r="K1" s="17" t="s">
        <v>177</v>
      </c>
      <c r="L1" s="17" t="s">
        <v>178</v>
      </c>
      <c r="M1" s="17" t="s">
        <v>625</v>
      </c>
      <c r="N1" s="78" t="s">
        <v>636</v>
      </c>
      <c r="O1" s="78" t="s">
        <v>637</v>
      </c>
      <c r="P1" s="78" t="s">
        <v>640</v>
      </c>
      <c r="Q1" s="78" t="s">
        <v>638</v>
      </c>
      <c r="R1" s="17" t="s">
        <v>179</v>
      </c>
    </row>
    <row r="2" spans="1:18" s="19" customFormat="1" ht="45" customHeight="1">
      <c r="A2" s="84">
        <v>1</v>
      </c>
      <c r="B2" s="24">
        <v>16</v>
      </c>
      <c r="C2" s="82">
        <v>44712</v>
      </c>
      <c r="D2" s="26" t="s">
        <v>631</v>
      </c>
      <c r="E2" s="26" t="s">
        <v>610</v>
      </c>
      <c r="F2" s="26" t="s">
        <v>302</v>
      </c>
      <c r="G2" s="26" t="s">
        <v>302</v>
      </c>
      <c r="H2" s="79" t="s">
        <v>188</v>
      </c>
      <c r="I2" s="26" t="s">
        <v>189</v>
      </c>
      <c r="J2" s="25"/>
      <c r="K2" s="27" t="s">
        <v>183</v>
      </c>
      <c r="L2" s="29">
        <v>187000</v>
      </c>
      <c r="M2" s="29">
        <f>ROUNDDOWN(QUOTIENT(PRODUCT(テーブル2567[[#This Row],[国庫補助基本額【上限100万円】
（内示額）]],2),3),-3)</f>
        <v>187000</v>
      </c>
      <c r="N2" s="29">
        <v>281400</v>
      </c>
      <c r="O2" s="29">
        <v>281400</v>
      </c>
      <c r="P2" s="29">
        <f>ROUNDDOWN(テーブル2567[[#This Row],[申請額]],-3)</f>
        <v>281000</v>
      </c>
      <c r="Q2" s="29" t="s">
        <v>639</v>
      </c>
      <c r="R2" s="28"/>
    </row>
    <row r="3" spans="1:18" s="19" customFormat="1" ht="45" customHeight="1">
      <c r="A3" s="84">
        <v>2</v>
      </c>
      <c r="B3" s="24">
        <v>17</v>
      </c>
      <c r="C3" s="82">
        <v>44721</v>
      </c>
      <c r="D3" s="26" t="s">
        <v>199</v>
      </c>
      <c r="E3" s="26" t="s">
        <v>646</v>
      </c>
      <c r="F3" s="26" t="s">
        <v>357</v>
      </c>
      <c r="G3" s="26" t="s">
        <v>357</v>
      </c>
      <c r="H3" s="79" t="s">
        <v>200</v>
      </c>
      <c r="I3" s="26" t="s">
        <v>189</v>
      </c>
      <c r="J3" s="25"/>
      <c r="K3" s="27" t="s">
        <v>183</v>
      </c>
      <c r="L3" s="29">
        <v>666000</v>
      </c>
      <c r="M3" s="29">
        <f>ROUNDDOWN(QUOTIENT(PRODUCT(テーブル2567[[#This Row],[国庫補助基本額【上限100万円】
（内示額）]],2),3),-3)</f>
        <v>666000</v>
      </c>
      <c r="N3" s="29">
        <v>1000000</v>
      </c>
      <c r="O3" s="29">
        <v>1000000</v>
      </c>
      <c r="P3" s="29">
        <f>ROUNDDOWN(テーブル2567[[#This Row],[申請額]],-3)</f>
        <v>1000000</v>
      </c>
      <c r="Q3" s="29" t="s">
        <v>639</v>
      </c>
      <c r="R3" s="28"/>
    </row>
    <row r="4" spans="1:18" s="19" customFormat="1" ht="45" customHeight="1">
      <c r="A4" s="84">
        <v>3</v>
      </c>
      <c r="B4" s="24">
        <v>18</v>
      </c>
      <c r="C4" s="82">
        <v>44721</v>
      </c>
      <c r="D4" s="26" t="s">
        <v>199</v>
      </c>
      <c r="E4" s="26" t="s">
        <v>646</v>
      </c>
      <c r="F4" s="26" t="s">
        <v>357</v>
      </c>
      <c r="G4" s="26" t="s">
        <v>357</v>
      </c>
      <c r="H4" s="79" t="s">
        <v>203</v>
      </c>
      <c r="I4" s="26" t="s">
        <v>189</v>
      </c>
      <c r="J4" s="25"/>
      <c r="K4" s="27" t="s">
        <v>183</v>
      </c>
      <c r="L4" s="29">
        <v>666000</v>
      </c>
      <c r="M4" s="29">
        <f>ROUNDDOWN(QUOTIENT(PRODUCT(テーブル2567[[#This Row],[国庫補助基本額【上限100万円】
（内示額）]],2),3),-3)</f>
        <v>666000</v>
      </c>
      <c r="N4" s="29">
        <v>1000000</v>
      </c>
      <c r="O4" s="29">
        <v>1000000</v>
      </c>
      <c r="P4" s="29">
        <f>ROUNDDOWN(テーブル2567[[#This Row],[申請額]],-3)</f>
        <v>1000000</v>
      </c>
      <c r="Q4" s="29" t="s">
        <v>639</v>
      </c>
      <c r="R4" s="28"/>
    </row>
    <row r="5" spans="1:18" s="19" customFormat="1" ht="45" customHeight="1">
      <c r="A5" s="84">
        <v>4</v>
      </c>
      <c r="B5" s="24">
        <v>19</v>
      </c>
      <c r="C5" s="82">
        <v>44721</v>
      </c>
      <c r="D5" s="26" t="s">
        <v>199</v>
      </c>
      <c r="E5" s="26" t="s">
        <v>646</v>
      </c>
      <c r="F5" s="26" t="s">
        <v>357</v>
      </c>
      <c r="G5" s="26" t="s">
        <v>357</v>
      </c>
      <c r="H5" s="79" t="s">
        <v>204</v>
      </c>
      <c r="I5" s="26" t="s">
        <v>189</v>
      </c>
      <c r="J5" s="25"/>
      <c r="K5" s="27" t="s">
        <v>183</v>
      </c>
      <c r="L5" s="29">
        <v>666000</v>
      </c>
      <c r="M5" s="29">
        <f>ROUNDDOWN(QUOTIENT(PRODUCT(テーブル2567[[#This Row],[国庫補助基本額【上限100万円】
（内示額）]],2),3),-3)</f>
        <v>666000</v>
      </c>
      <c r="N5" s="29">
        <v>1000000</v>
      </c>
      <c r="O5" s="29">
        <v>1000000</v>
      </c>
      <c r="P5" s="29">
        <f>ROUNDDOWN(テーブル2567[[#This Row],[申請額]],-3)</f>
        <v>1000000</v>
      </c>
      <c r="Q5" s="29" t="s">
        <v>639</v>
      </c>
      <c r="R5" s="28"/>
    </row>
    <row r="6" spans="1:18" s="19" customFormat="1" ht="45" customHeight="1">
      <c r="A6" s="84">
        <v>5</v>
      </c>
      <c r="B6" s="24">
        <v>20</v>
      </c>
      <c r="C6" s="82">
        <v>44720</v>
      </c>
      <c r="D6" s="26" t="s">
        <v>190</v>
      </c>
      <c r="E6" s="26" t="s">
        <v>648</v>
      </c>
      <c r="F6" s="26" t="s">
        <v>310</v>
      </c>
      <c r="G6" s="26" t="s">
        <v>341</v>
      </c>
      <c r="H6" s="79" t="s">
        <v>191</v>
      </c>
      <c r="I6" s="26" t="s">
        <v>75</v>
      </c>
      <c r="J6" s="25"/>
      <c r="K6" s="27" t="s">
        <v>183</v>
      </c>
      <c r="L6" s="29">
        <v>666000</v>
      </c>
      <c r="M6" s="29">
        <f>ROUNDDOWN(QUOTIENT(PRODUCT(テーブル2567[[#This Row],[国庫補助基本額【上限100万円】
（内示額）]],2),3),-3)</f>
        <v>666000</v>
      </c>
      <c r="N6" s="29">
        <v>1000000</v>
      </c>
      <c r="O6" s="29">
        <v>1000000</v>
      </c>
      <c r="P6" s="29">
        <f>ROUNDDOWN(テーブル2567[[#This Row],[申請額]],-3)</f>
        <v>1000000</v>
      </c>
      <c r="Q6" s="29" t="s">
        <v>643</v>
      </c>
      <c r="R6" s="28"/>
    </row>
    <row r="7" spans="1:18" s="19" customFormat="1" ht="45" customHeight="1">
      <c r="A7" s="84">
        <v>6</v>
      </c>
      <c r="B7" s="24">
        <v>21</v>
      </c>
      <c r="C7" s="82">
        <v>44720</v>
      </c>
      <c r="D7" s="26" t="s">
        <v>190</v>
      </c>
      <c r="E7" s="26" t="s">
        <v>648</v>
      </c>
      <c r="F7" s="26" t="s">
        <v>341</v>
      </c>
      <c r="G7" s="26" t="s">
        <v>341</v>
      </c>
      <c r="H7" s="79" t="s">
        <v>198</v>
      </c>
      <c r="I7" s="26" t="s">
        <v>75</v>
      </c>
      <c r="J7" s="25"/>
      <c r="K7" s="27" t="s">
        <v>183</v>
      </c>
      <c r="L7" s="29">
        <v>338000</v>
      </c>
      <c r="M7" s="29">
        <f>ROUNDDOWN(QUOTIENT(PRODUCT(テーブル2567[[#This Row],[国庫補助基本額【上限100万円】
（内示額）]],2),3),-3)</f>
        <v>338000</v>
      </c>
      <c r="N7" s="29">
        <v>507540</v>
      </c>
      <c r="O7" s="29">
        <v>507540</v>
      </c>
      <c r="P7" s="29">
        <f>ROUNDDOWN(テーブル2567[[#This Row],[申請額]],-3)</f>
        <v>507000</v>
      </c>
      <c r="Q7" s="81" t="s">
        <v>652</v>
      </c>
      <c r="R7" s="28"/>
    </row>
    <row r="8" spans="1:18" s="19" customFormat="1" ht="45" customHeight="1">
      <c r="A8" s="84">
        <v>7</v>
      </c>
      <c r="B8" s="24">
        <v>22</v>
      </c>
      <c r="C8" s="82">
        <v>44728</v>
      </c>
      <c r="D8" s="26" t="s">
        <v>185</v>
      </c>
      <c r="E8" s="26" t="s">
        <v>598</v>
      </c>
      <c r="F8" s="26" t="s">
        <v>295</v>
      </c>
      <c r="G8" s="26" t="s">
        <v>295</v>
      </c>
      <c r="H8" s="79" t="s">
        <v>196</v>
      </c>
      <c r="I8" s="26" t="s">
        <v>189</v>
      </c>
      <c r="J8" s="25"/>
      <c r="K8" s="27" t="s">
        <v>183</v>
      </c>
      <c r="L8" s="29">
        <v>666000</v>
      </c>
      <c r="M8" s="29">
        <f>ROUNDDOWN(QUOTIENT(PRODUCT(テーブル2567[[#This Row],[国庫補助基本額【上限100万円】
（内示額）]],2),3),-3)</f>
        <v>666000</v>
      </c>
      <c r="N8" s="29">
        <v>1000000</v>
      </c>
      <c r="O8" s="29">
        <v>1000000</v>
      </c>
      <c r="P8" s="29">
        <f>ROUNDDOWN(テーブル2567[[#This Row],[申請額]],-3)</f>
        <v>1000000</v>
      </c>
      <c r="Q8" s="81" t="s">
        <v>650</v>
      </c>
      <c r="R8" s="28"/>
    </row>
    <row r="9" spans="1:18" s="19" customFormat="1" ht="45" customHeight="1">
      <c r="A9" s="84">
        <v>8</v>
      </c>
      <c r="B9" s="24">
        <v>23</v>
      </c>
      <c r="C9" s="82">
        <v>44728</v>
      </c>
      <c r="D9" s="26" t="s">
        <v>185</v>
      </c>
      <c r="E9" s="26" t="s">
        <v>598</v>
      </c>
      <c r="F9" s="26" t="s">
        <v>295</v>
      </c>
      <c r="G9" s="26" t="s">
        <v>295</v>
      </c>
      <c r="H9" s="79" t="s">
        <v>259</v>
      </c>
      <c r="I9" s="26" t="s">
        <v>75</v>
      </c>
      <c r="J9" s="25"/>
      <c r="K9" s="27" t="s">
        <v>183</v>
      </c>
      <c r="L9" s="29">
        <v>666000</v>
      </c>
      <c r="M9" s="29">
        <f>ROUNDDOWN(QUOTIENT(PRODUCT(テーブル2567[[#This Row],[国庫補助基本額【上限100万円】
（内示額）]],2),3),-3)</f>
        <v>666000</v>
      </c>
      <c r="N9" s="29">
        <v>1000000</v>
      </c>
      <c r="O9" s="29">
        <v>1000000</v>
      </c>
      <c r="P9" s="29">
        <f>ROUNDDOWN(テーブル2567[[#This Row],[申請額]],-3)</f>
        <v>1000000</v>
      </c>
      <c r="Q9" s="81" t="s">
        <v>650</v>
      </c>
      <c r="R9" s="28"/>
    </row>
    <row r="10" spans="1:18" s="19" customFormat="1" ht="45" customHeight="1">
      <c r="A10" s="84">
        <v>9</v>
      </c>
      <c r="B10" s="24">
        <v>24</v>
      </c>
      <c r="C10" s="82">
        <v>44728</v>
      </c>
      <c r="D10" s="26" t="s">
        <v>185</v>
      </c>
      <c r="E10" s="26" t="s">
        <v>598</v>
      </c>
      <c r="F10" s="26" t="s">
        <v>295</v>
      </c>
      <c r="G10" s="26" t="s">
        <v>295</v>
      </c>
      <c r="H10" s="79" t="s">
        <v>197</v>
      </c>
      <c r="I10" s="26" t="s">
        <v>75</v>
      </c>
      <c r="J10" s="25"/>
      <c r="K10" s="27" t="s">
        <v>183</v>
      </c>
      <c r="L10" s="29">
        <v>666000</v>
      </c>
      <c r="M10" s="29">
        <f>ROUNDDOWN(QUOTIENT(PRODUCT(テーブル2567[[#This Row],[国庫補助基本額【上限100万円】
（内示額）]],2),3),-3)</f>
        <v>666000</v>
      </c>
      <c r="N10" s="29">
        <v>1000000</v>
      </c>
      <c r="O10" s="29">
        <v>1000000</v>
      </c>
      <c r="P10" s="29">
        <f>ROUNDDOWN(テーブル2567[[#This Row],[申請額]],-3)</f>
        <v>1000000</v>
      </c>
      <c r="Q10" s="81" t="s">
        <v>650</v>
      </c>
      <c r="R10" s="28"/>
    </row>
    <row r="11" spans="1:18" s="19" customFormat="1" ht="45" customHeight="1">
      <c r="A11" s="84">
        <v>10</v>
      </c>
      <c r="B11" s="24">
        <v>25</v>
      </c>
      <c r="C11" s="82">
        <v>44725</v>
      </c>
      <c r="D11" s="26" t="s">
        <v>113</v>
      </c>
      <c r="E11" s="26" t="s">
        <v>597</v>
      </c>
      <c r="F11" s="26" t="s">
        <v>350</v>
      </c>
      <c r="G11" s="26" t="s">
        <v>623</v>
      </c>
      <c r="H11" s="79" t="s">
        <v>589</v>
      </c>
      <c r="I11" s="26" t="s">
        <v>189</v>
      </c>
      <c r="J11" s="25"/>
      <c r="K11" s="27" t="s">
        <v>183</v>
      </c>
      <c r="L11" s="29">
        <v>446000</v>
      </c>
      <c r="M11" s="29">
        <f>ROUNDDOWN(QUOTIENT(PRODUCT(テーブル2567[[#This Row],[国庫補助基本額【上限100万円】
（内示額）]],2),3),-3)</f>
        <v>446000</v>
      </c>
      <c r="N11" s="29">
        <v>670450</v>
      </c>
      <c r="O11" s="29">
        <v>670450</v>
      </c>
      <c r="P11" s="29">
        <f>ROUNDDOWN(テーブル2567[[#This Row],[申請額]],-3)</f>
        <v>670000</v>
      </c>
      <c r="Q11" s="29" t="s">
        <v>643</v>
      </c>
      <c r="R11" s="28"/>
    </row>
    <row r="12" spans="1:18" s="19" customFormat="1" ht="45" customHeight="1">
      <c r="A12" s="84">
        <v>11</v>
      </c>
      <c r="B12" s="24">
        <v>26</v>
      </c>
      <c r="C12" s="82">
        <v>44725</v>
      </c>
      <c r="D12" s="26" t="s">
        <v>113</v>
      </c>
      <c r="E12" s="26" t="s">
        <v>596</v>
      </c>
      <c r="F12" s="26" t="s">
        <v>116</v>
      </c>
      <c r="G12" s="26" t="s">
        <v>623</v>
      </c>
      <c r="H12" s="79" t="s">
        <v>117</v>
      </c>
      <c r="I12" s="26" t="s">
        <v>110</v>
      </c>
      <c r="J12" s="25"/>
      <c r="K12" s="27" t="s">
        <v>183</v>
      </c>
      <c r="L12" s="29">
        <v>517000</v>
      </c>
      <c r="M12" s="29">
        <f>ROUNDDOWN(QUOTIENT(PRODUCT(テーブル2567[[#This Row],[国庫補助基本額【上限100万円】
（内示額）]],2),3),-3)</f>
        <v>517000</v>
      </c>
      <c r="N12" s="29">
        <v>776820</v>
      </c>
      <c r="O12" s="29">
        <v>776820</v>
      </c>
      <c r="P12" s="29">
        <f>ROUNDDOWN(テーブル2567[[#This Row],[申請額]],-3)</f>
        <v>776000</v>
      </c>
      <c r="Q12" s="81" t="s">
        <v>642</v>
      </c>
      <c r="R12" s="28"/>
    </row>
    <row r="13" spans="1:18" s="19" customFormat="1" ht="45" customHeight="1">
      <c r="A13" s="84">
        <v>12</v>
      </c>
      <c r="B13" s="24">
        <v>27</v>
      </c>
      <c r="C13" s="82">
        <v>44725</v>
      </c>
      <c r="D13" s="26" t="s">
        <v>113</v>
      </c>
      <c r="E13" s="26" t="s">
        <v>596</v>
      </c>
      <c r="F13" s="26" t="s">
        <v>116</v>
      </c>
      <c r="G13" s="26" t="s">
        <v>623</v>
      </c>
      <c r="H13" s="79" t="s">
        <v>184</v>
      </c>
      <c r="I13" s="26" t="s">
        <v>75</v>
      </c>
      <c r="J13" s="25"/>
      <c r="K13" s="27" t="s">
        <v>183</v>
      </c>
      <c r="L13" s="29">
        <v>666000</v>
      </c>
      <c r="M13" s="29">
        <f>ROUNDDOWN(QUOTIENT(PRODUCT(テーブル2567[[#This Row],[国庫補助基本額【上限100万円】
（内示額）]],2),3),-3)</f>
        <v>666000</v>
      </c>
      <c r="N13" s="29">
        <v>1000000</v>
      </c>
      <c r="O13" s="29">
        <v>1000000</v>
      </c>
      <c r="P13" s="29">
        <f>ROUNDDOWN(テーブル2567[[#This Row],[申請額]],-3)</f>
        <v>1000000</v>
      </c>
      <c r="Q13" s="81" t="s">
        <v>653</v>
      </c>
      <c r="R13" s="28"/>
    </row>
    <row r="14" spans="1:18" s="19" customFormat="1" ht="45" customHeight="1">
      <c r="A14" s="84">
        <v>13</v>
      </c>
      <c r="B14" s="24">
        <v>28</v>
      </c>
      <c r="C14" s="82">
        <v>44725</v>
      </c>
      <c r="D14" s="26" t="s">
        <v>633</v>
      </c>
      <c r="E14" s="26" t="s">
        <v>647</v>
      </c>
      <c r="F14" s="26" t="s">
        <v>274</v>
      </c>
      <c r="G14" s="26" t="s">
        <v>274</v>
      </c>
      <c r="H14" s="79" t="s">
        <v>182</v>
      </c>
      <c r="I14" s="26" t="s">
        <v>75</v>
      </c>
      <c r="J14" s="25"/>
      <c r="K14" s="27" t="s">
        <v>183</v>
      </c>
      <c r="L14" s="29">
        <v>560000</v>
      </c>
      <c r="M14" s="29">
        <f>ROUNDDOWN(QUOTIENT(PRODUCT(テーブル2567[[#This Row],[国庫補助基本額【上限100万円】
（内示額）]],2),3),-3)</f>
        <v>560000</v>
      </c>
      <c r="N14" s="29">
        <v>841030</v>
      </c>
      <c r="O14" s="29">
        <v>747130</v>
      </c>
      <c r="P14" s="29">
        <f>ROUNDDOWN(テーブル2567[[#This Row],[申請額]],-3)</f>
        <v>747000</v>
      </c>
      <c r="Q14" s="29" t="s">
        <v>641</v>
      </c>
      <c r="R14" s="28"/>
    </row>
    <row r="15" spans="1:18" s="19" customFormat="1" ht="39.75" customHeight="1">
      <c r="A15" s="84">
        <v>14</v>
      </c>
      <c r="B15" s="24">
        <v>29</v>
      </c>
      <c r="C15" s="85">
        <v>44749</v>
      </c>
      <c r="D15" s="26" t="s">
        <v>201</v>
      </c>
      <c r="E15" s="86" t="s">
        <v>592</v>
      </c>
      <c r="F15" s="26" t="s">
        <v>364</v>
      </c>
      <c r="G15" s="26" t="s">
        <v>364</v>
      </c>
      <c r="H15" s="79" t="s">
        <v>202</v>
      </c>
      <c r="I15" s="26" t="s">
        <v>75</v>
      </c>
      <c r="J15" s="25"/>
      <c r="K15" s="27" t="s">
        <v>183</v>
      </c>
      <c r="L15" s="29">
        <v>666000</v>
      </c>
      <c r="M15" s="29">
        <f>ROUNDDOWN(QUOTIENT(PRODUCT(テーブル2567[[#This Row],[国庫補助基本額【上限100万円】
（内示額）]],2),3),-3)</f>
        <v>666000</v>
      </c>
      <c r="N15" s="29">
        <v>1000000</v>
      </c>
      <c r="O15" s="29">
        <v>658000</v>
      </c>
      <c r="P15" s="29">
        <f>ROUNDDOWN(テーブル2567[[#This Row],[申請額]],-3)</f>
        <v>658000</v>
      </c>
      <c r="Q15" s="81" t="s">
        <v>651</v>
      </c>
      <c r="R15" s="28"/>
    </row>
    <row r="16" spans="1:18" ht="39.75" customHeight="1">
      <c r="A16" s="67"/>
      <c r="B16" s="67"/>
      <c r="C16" s="67"/>
      <c r="D16" s="67"/>
      <c r="E16" s="67"/>
      <c r="F16" s="67"/>
      <c r="G16" s="67"/>
      <c r="H16" s="67"/>
      <c r="I16" s="67"/>
      <c r="J16" s="77"/>
      <c r="K16" s="67"/>
      <c r="L16" s="80">
        <f>SUBTOTAL(109,テーブル2567[参考：　採択（予定）金額])</f>
        <v>8042000</v>
      </c>
      <c r="M16" s="80">
        <f>SUBTOTAL(109,テーブル2567[検算])</f>
        <v>8042000</v>
      </c>
      <c r="N16" s="80">
        <f>SUBTOTAL(109,テーブル2567[国庫補助基本額【上限100万円】
（内示額）])</f>
        <v>12077240</v>
      </c>
      <c r="O16" s="80">
        <f>SUBTOTAL(109,テーブル2567[申請額])</f>
        <v>11641340</v>
      </c>
      <c r="P16" s="80">
        <f>SUBTOTAL(109,テーブル2567[交付決定額])</f>
        <v>11639000</v>
      </c>
      <c r="Q16" s="67"/>
      <c r="R16" s="67"/>
    </row>
  </sheetData>
  <phoneticPr fontId="1"/>
  <dataValidations count="2">
    <dataValidation type="list" allowBlank="1" showInputMessage="1" showErrorMessage="1" sqref="J2:J15" xr:uid="{00000000-0002-0000-0800-000000000000}">
      <formula1>"１位,２位,３位"</formula1>
    </dataValidation>
    <dataValidation type="list" allowBlank="1" showInputMessage="1" showErrorMessage="1" sqref="K2:K15" xr:uid="{00000000-0002-0000-0800-000001000000}">
      <formula1>"○,×"</formula1>
    </dataValidation>
  </dataValidations>
  <hyperlinks>
    <hyperlink ref="G11" r:id="rId1" xr:uid="{00000000-0004-0000-0800-000000000000}"/>
  </hyperlinks>
  <pageMargins left="0.70866141732283472" right="0.70866141732283472" top="0.74803149606299213" bottom="0.74803149606299213" header="0.31496062992125984" footer="0.31496062992125984"/>
  <pageSetup paperSize="8" scale="65" fitToHeight="0" orientation="landscape" r:id="rId2"/>
  <headerFooter>
    <oddHeader>&amp;C&amp;"BIZ UDPゴシック,標準"&amp;16令和4年度障害福祉分野のICT導入モデル事業　対象事業所一覧</odd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36</vt:i4>
      </vt:variant>
      <vt:variant>
        <vt:lpstr>名前付き一覧</vt:lpstr>
      </vt:variant>
      <vt:variant>
        <vt:i4>45</vt:i4>
      </vt:variant>
    </vt:vector>
  </HeadingPairs>
  <TitlesOfParts>
    <vt:vector size="81" baseType="lpstr">
      <vt:lpstr>事業所一覧（HP用）</vt:lpstr>
      <vt:lpstr>実績確定用  (3)</vt:lpstr>
      <vt:lpstr>実績確定用  (2)</vt:lpstr>
      <vt:lpstr>実績確定用 </vt:lpstr>
      <vt:lpstr>実績確定用 (支援課分)</vt:lpstr>
      <vt:lpstr>交付決定一覧</vt:lpstr>
      <vt:lpstr>Sheet2</vt:lpstr>
      <vt:lpstr>支援課分</vt:lpstr>
      <vt:lpstr>就労のみ (2)</vt:lpstr>
      <vt:lpstr>就労のみ</vt:lpstr>
      <vt:lpstr>送付先一覧</vt:lpstr>
      <vt:lpstr>電子申請一覧。</vt:lpstr>
      <vt:lpstr>内々示一覧表 (印刷用)</vt:lpstr>
      <vt:lpstr>一覧表 (確認用)</vt:lpstr>
      <vt:lpstr>1</vt:lpstr>
      <vt:lpstr>2</vt:lpstr>
      <vt:lpstr>3</vt:lpstr>
      <vt:lpstr>4</vt:lpstr>
      <vt:lpstr>5</vt:lpstr>
      <vt:lpstr>6</vt:lpstr>
      <vt:lpstr>7-15</vt:lpstr>
      <vt:lpstr>16</vt:lpstr>
      <vt:lpstr>17-19</vt:lpstr>
      <vt:lpstr>20</vt:lpstr>
      <vt:lpstr>21-28</vt:lpstr>
      <vt:lpstr>29</vt:lpstr>
      <vt:lpstr>30</vt:lpstr>
      <vt:lpstr>31-32</vt:lpstr>
      <vt:lpstr>33-36</vt:lpstr>
      <vt:lpstr>37</vt:lpstr>
      <vt:lpstr>38-40</vt:lpstr>
      <vt:lpstr>41-46</vt:lpstr>
      <vt:lpstr>47</vt:lpstr>
      <vt:lpstr>原本</vt:lpstr>
      <vt:lpstr>電子申請一覧</vt:lpstr>
      <vt:lpstr>調査票</vt:lpstr>
      <vt:lpstr>'1'!Print_Area</vt:lpstr>
      <vt:lpstr>'16'!Print_Area</vt:lpstr>
      <vt:lpstr>'17-19'!Print_Area</vt:lpstr>
      <vt:lpstr>'2'!Print_Area</vt:lpstr>
      <vt:lpstr>'20'!Print_Area</vt:lpstr>
      <vt:lpstr>'21-28'!Print_Area</vt:lpstr>
      <vt:lpstr>'29'!Print_Area</vt:lpstr>
      <vt:lpstr>'3'!Print_Area</vt:lpstr>
      <vt:lpstr>'30'!Print_Area</vt:lpstr>
      <vt:lpstr>'31-32'!Print_Area</vt:lpstr>
      <vt:lpstr>'33-36'!Print_Area</vt:lpstr>
      <vt:lpstr>'37'!Print_Area</vt:lpstr>
      <vt:lpstr>'38-40'!Print_Area</vt:lpstr>
      <vt:lpstr>'4'!Print_Area</vt:lpstr>
      <vt:lpstr>'41-46'!Print_Area</vt:lpstr>
      <vt:lpstr>'47'!Print_Area</vt:lpstr>
      <vt:lpstr>'5'!Print_Area</vt:lpstr>
      <vt:lpstr>'6'!Print_Area</vt:lpstr>
      <vt:lpstr>'7-15'!Print_Area</vt:lpstr>
      <vt:lpstr>'一覧表 (確認用)'!Print_Area</vt:lpstr>
      <vt:lpstr>交付決定一覧!Print_Area</vt:lpstr>
      <vt:lpstr>'事業所一覧（HP用）'!Print_Area</vt:lpstr>
      <vt:lpstr>'実績確定用 '!Print_Area</vt:lpstr>
      <vt:lpstr>'実績確定用  (2)'!Print_Area</vt:lpstr>
      <vt:lpstr>'実績確定用  (3)'!Print_Area</vt:lpstr>
      <vt:lpstr>'実績確定用 (支援課分)'!Print_Area</vt:lpstr>
      <vt:lpstr>就労のみ!Print_Area</vt:lpstr>
      <vt:lpstr>'就労のみ (2)'!Print_Area</vt:lpstr>
      <vt:lpstr>送付先一覧!Print_Area</vt:lpstr>
      <vt:lpstr>調査票!Print_Area</vt:lpstr>
      <vt:lpstr>電子申請一覧!Print_Area</vt:lpstr>
      <vt:lpstr>電子申請一覧。!Print_Area</vt:lpstr>
      <vt:lpstr>'内々示一覧表 (印刷用)'!Print_Area</vt:lpstr>
      <vt:lpstr>'一覧表 (確認用)'!Print_Titles</vt:lpstr>
      <vt:lpstr>交付決定一覧!Print_Titles</vt:lpstr>
      <vt:lpstr>'事業所一覧（HP用）'!Print_Titles</vt:lpstr>
      <vt:lpstr>'実績確定用 '!Print_Titles</vt:lpstr>
      <vt:lpstr>'実績確定用  (2)'!Print_Titles</vt:lpstr>
      <vt:lpstr>'実績確定用  (3)'!Print_Titles</vt:lpstr>
      <vt:lpstr>'実績確定用 (支援課分)'!Print_Titles</vt:lpstr>
      <vt:lpstr>就労のみ!Print_Titles</vt:lpstr>
      <vt:lpstr>'就労のみ (2)'!Print_Titles</vt:lpstr>
      <vt:lpstr>送付先一覧!Print_Titles</vt:lpstr>
      <vt:lpstr>電子申請一覧。!Print_Titles</vt:lpstr>
      <vt:lpstr>'内々示一覧表 (印刷用)'!Print_Titles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社会参加係　青野</dc:creator>
  <cp:lastModifiedBy>遠藤　裕太</cp:lastModifiedBy>
  <cp:lastPrinted>2026-03-28T14:37:39Z</cp:lastPrinted>
  <dcterms:created xsi:type="dcterms:W3CDTF">2021-12-23T06:53:44Z</dcterms:created>
  <dcterms:modified xsi:type="dcterms:W3CDTF">2026-04-01T06:30:01Z</dcterms:modified>
</cp:coreProperties>
</file>